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xr:revisionPtr revIDLastSave="0" documentId="8_{C50D4F38-46E1-4C3C-95A8-1B514FC64412}" xr6:coauthVersionLast="47" xr6:coauthVersionMax="47" xr10:uidLastSave="{00000000-0000-0000-0000-000000000000}"/>
  <bookViews>
    <workbookView xWindow="-120" yWindow="-120" windowWidth="29040" windowHeight="15840" tabRatio="964" activeTab="4" xr2:uid="{00000000-000D-0000-FFFF-FFFF00000000}"/>
  </bookViews>
  <sheets>
    <sheet name="Naslovnica" sheetId="65120" r:id="rId1"/>
    <sheet name="Sadrzaj" sheetId="65121" r:id="rId2"/>
    <sheet name="Uvod" sheetId="304" r:id="rId3"/>
    <sheet name="CODE" sheetId="65119" state="veryHidden" r:id="rId4"/>
    <sheet name="Prihodi" sheetId="65139" r:id="rId5"/>
    <sheet name="Rashodi" sheetId="300" r:id="rId6"/>
    <sheet name="1" sheetId="16" r:id="rId7"/>
    <sheet name="2" sheetId="65065" r:id="rId8"/>
    <sheet name="3" sheetId="65067" r:id="rId9"/>
    <sheet name="4" sheetId="65099" r:id="rId10"/>
    <sheet name="5" sheetId="65123" r:id="rId11"/>
    <sheet name="6" sheetId="65140" r:id="rId12"/>
    <sheet name="7" sheetId="65068" r:id="rId13"/>
    <sheet name="8" sheetId="65069" r:id="rId14"/>
    <sheet name="9" sheetId="65070" r:id="rId15"/>
    <sheet name="10" sheetId="65071" r:id="rId16"/>
    <sheet name="11" sheetId="65074" r:id="rId17"/>
    <sheet name="12" sheetId="65100" r:id="rId18"/>
    <sheet name="13" sheetId="65115" r:id="rId19"/>
    <sheet name="14" sheetId="65141" r:id="rId20"/>
    <sheet name="15" sheetId="65075" r:id="rId21"/>
    <sheet name="16" sheetId="65076" r:id="rId22"/>
    <sheet name="17" sheetId="65077" r:id="rId23"/>
    <sheet name="18" sheetId="65078" r:id="rId24"/>
    <sheet name="19" sheetId="65079" r:id="rId25"/>
    <sheet name="20" sheetId="65080" r:id="rId26"/>
    <sheet name="21" sheetId="65082" r:id="rId27"/>
    <sheet name="22" sheetId="65081" r:id="rId28"/>
    <sheet name="23" sheetId="65122" r:id="rId29"/>
    <sheet name="24" sheetId="65083" r:id="rId30"/>
    <sheet name="25" sheetId="65084" r:id="rId31"/>
    <sheet name="26" sheetId="65085" r:id="rId32"/>
    <sheet name="27" sheetId="65086" r:id="rId33"/>
    <sheet name="28" sheetId="65087" r:id="rId34"/>
    <sheet name="29" sheetId="65088" r:id="rId35"/>
    <sheet name="30" sheetId="65089" r:id="rId36"/>
    <sheet name="31" sheetId="65093" r:id="rId37"/>
    <sheet name="32" sheetId="65094" r:id="rId38"/>
    <sheet name="33" sheetId="65095" r:id="rId39"/>
    <sheet name="34" sheetId="65096" r:id="rId40"/>
    <sheet name="35" sheetId="65097" r:id="rId41"/>
    <sheet name="36" sheetId="65098" r:id="rId42"/>
    <sheet name="37" sheetId="65105" r:id="rId43"/>
    <sheet name="Sumarno" sheetId="65124" r:id="rId44"/>
    <sheet name="Zaposleni" sheetId="65142" r:id="rId45"/>
    <sheet name="Funkcijska" sheetId="65137" r:id="rId46"/>
    <sheet name="Kap.pror." sheetId="65125" r:id="rId47"/>
    <sheet name="Kraj" sheetId="65061" r:id="rId48"/>
  </sheets>
  <definedNames>
    <definedName name="ACCOUNTEDPERIODTYPE1" localSheetId="19">#REF!</definedName>
    <definedName name="ACCOUNTEDPERIODTYPE1" localSheetId="11">#REF!</definedName>
    <definedName name="ACCOUNTEDPERIODTYPE1">#REF!</definedName>
    <definedName name="APPSUSERNAME1" localSheetId="19">#REF!</definedName>
    <definedName name="APPSUSERNAME1" localSheetId="11">#REF!</definedName>
    <definedName name="APPSUSERNAME1">#REF!</definedName>
    <definedName name="BUDGETORGID1" localSheetId="19">#REF!</definedName>
    <definedName name="BUDGETORGID1" localSheetId="11">#REF!</definedName>
    <definedName name="BUDGETORGID1">#REF!</definedName>
    <definedName name="BUDGETORGNAME1" localSheetId="19">#REF!</definedName>
    <definedName name="BUDGETORGNAME1" localSheetId="11">#REF!</definedName>
    <definedName name="BUDGETORGNAME1">#REF!</definedName>
    <definedName name="CHARTOFACCOUNTSID1" localSheetId="19">#REF!</definedName>
    <definedName name="CHARTOFACCOUNTSID1" localSheetId="11">#REF!</definedName>
    <definedName name="CHARTOFACCOUNTSID1">#REF!</definedName>
    <definedName name="CONNECTSTRING1" localSheetId="19">#REF!</definedName>
    <definedName name="CONNECTSTRING1" localSheetId="11">#REF!</definedName>
    <definedName name="CONNECTSTRING1">#REF!</definedName>
    <definedName name="CREATESUMMARYJNLS1" localSheetId="19">#REF!</definedName>
    <definedName name="CREATESUMMARYJNLS1" localSheetId="11">#REF!</definedName>
    <definedName name="CREATESUMMARYJNLS1">#REF!</definedName>
    <definedName name="CRITERIACOLUMN1" localSheetId="19">#REF!</definedName>
    <definedName name="CRITERIACOLUMN1" localSheetId="11">#REF!</definedName>
    <definedName name="CRITERIACOLUMN1">#REF!</definedName>
    <definedName name="DBNAME1" localSheetId="19">#REF!</definedName>
    <definedName name="DBNAME1" localSheetId="11">#REF!</definedName>
    <definedName name="DBNAME1">#REF!</definedName>
    <definedName name="DBUSERNAME1" localSheetId="19">#REF!</definedName>
    <definedName name="DBUSERNAME1" localSheetId="11">#REF!</definedName>
    <definedName name="DBUSERNAME1">#REF!</definedName>
    <definedName name="DELETELOGICTYPE1" localSheetId="19">#REF!</definedName>
    <definedName name="DELETELOGICTYPE1" localSheetId="11">#REF!</definedName>
    <definedName name="DELETELOGICTYPE1">#REF!</definedName>
    <definedName name="FFAPPCOLNAME1_1" localSheetId="19">#REF!</definedName>
    <definedName name="FFAPPCOLNAME1_1" localSheetId="11">#REF!</definedName>
    <definedName name="FFAPPCOLNAME1_1">#REF!</definedName>
    <definedName name="FFAPPCOLNAME2_1" localSheetId="19">#REF!</definedName>
    <definedName name="FFAPPCOLNAME2_1" localSheetId="11">#REF!</definedName>
    <definedName name="FFAPPCOLNAME2_1">#REF!</definedName>
    <definedName name="FFAPPCOLNAME3_1" localSheetId="19">#REF!</definedName>
    <definedName name="FFAPPCOLNAME3_1" localSheetId="11">#REF!</definedName>
    <definedName name="FFAPPCOLNAME3_1">#REF!</definedName>
    <definedName name="FFAPPCOLNAME4_1" localSheetId="19">#REF!</definedName>
    <definedName name="FFAPPCOLNAME4_1" localSheetId="11">#REF!</definedName>
    <definedName name="FFAPPCOLNAME4_1">#REF!</definedName>
    <definedName name="FFAPPCOLNAME5_1" localSheetId="19">#REF!</definedName>
    <definedName name="FFAPPCOLNAME5_1" localSheetId="11">#REF!</definedName>
    <definedName name="FFAPPCOLNAME5_1">#REF!</definedName>
    <definedName name="FFAPPCOLNAME6_1" localSheetId="19">#REF!</definedName>
    <definedName name="FFAPPCOLNAME6_1" localSheetId="11">#REF!</definedName>
    <definedName name="FFAPPCOLNAME6_1">#REF!</definedName>
    <definedName name="FFSEGMENT1_1" localSheetId="19">#REF!</definedName>
    <definedName name="FFSEGMENT1_1" localSheetId="11">#REF!</definedName>
    <definedName name="FFSEGMENT1_1">#REF!</definedName>
    <definedName name="FFSEGMENT2_1" localSheetId="19">#REF!</definedName>
    <definedName name="FFSEGMENT2_1" localSheetId="11">#REF!</definedName>
    <definedName name="FFSEGMENT2_1">#REF!</definedName>
    <definedName name="FFSEGMENT3_1" localSheetId="19">#REF!</definedName>
    <definedName name="FFSEGMENT3_1" localSheetId="11">#REF!</definedName>
    <definedName name="FFSEGMENT3_1">#REF!</definedName>
    <definedName name="FFSEGMENT4_1" localSheetId="19">#REF!</definedName>
    <definedName name="FFSEGMENT4_1" localSheetId="11">#REF!</definedName>
    <definedName name="FFSEGMENT4_1">#REF!</definedName>
    <definedName name="FFSEGMENT5_1" localSheetId="19">#REF!</definedName>
    <definedName name="FFSEGMENT5_1" localSheetId="11">#REF!</definedName>
    <definedName name="FFSEGMENT5_1">#REF!</definedName>
    <definedName name="FFSEGMENT6_1" localSheetId="19">#REF!</definedName>
    <definedName name="FFSEGMENT6_1" localSheetId="11">#REF!</definedName>
    <definedName name="FFSEGMENT6_1">#REF!</definedName>
    <definedName name="FFSEGSEPARATOR1" localSheetId="19">#REF!</definedName>
    <definedName name="FFSEGSEPARATOR1" localSheetId="11">#REF!</definedName>
    <definedName name="FFSEGSEPARATOR1">#REF!</definedName>
    <definedName name="FIELDNAMECOLUMN1" localSheetId="19">#REF!</definedName>
    <definedName name="FIELDNAMECOLUMN1" localSheetId="11">#REF!</definedName>
    <definedName name="FIELDNAMECOLUMN1">#REF!</definedName>
    <definedName name="FIELDNAMEROW1" localSheetId="19">#REF!</definedName>
    <definedName name="FIELDNAMEROW1" localSheetId="11">#REF!</definedName>
    <definedName name="FIELDNAMEROW1">#REF!</definedName>
    <definedName name="FIRSTDATAROW1" localSheetId="19">#REF!</definedName>
    <definedName name="FIRSTDATAROW1" localSheetId="11">#REF!</definedName>
    <definedName name="FIRSTDATAROW1">#REF!</definedName>
    <definedName name="FNDNAM1" localSheetId="19">#REF!</definedName>
    <definedName name="FNDNAM1" localSheetId="11">#REF!</definedName>
    <definedName name="FNDNAM1">#REF!</definedName>
    <definedName name="FNDUSERID1" localSheetId="19">#REF!</definedName>
    <definedName name="FNDUSERID1" localSheetId="11">#REF!</definedName>
    <definedName name="FNDUSERID1">#REF!</definedName>
    <definedName name="FUNCTIONALCURRENCY1" localSheetId="19">#REF!</definedName>
    <definedName name="FUNCTIONALCURRENCY1" localSheetId="11">#REF!</definedName>
    <definedName name="FUNCTIONALCURRENCY1">#REF!</definedName>
    <definedName name="GWYUID1" localSheetId="19">#REF!</definedName>
    <definedName name="GWYUID1" localSheetId="11">#REF!</definedName>
    <definedName name="GWYUID1">#REF!</definedName>
    <definedName name="IMPORTDFF1" localSheetId="19">#REF!</definedName>
    <definedName name="IMPORTDFF1" localSheetId="11">#REF!</definedName>
    <definedName name="IMPORTDFF1">#REF!</definedName>
    <definedName name="_xlnm.Print_Titles" localSheetId="45">Funkcijska!$1:$6</definedName>
    <definedName name="_xlnm.Print_Titles" localSheetId="4">Prihodi!$2:$4</definedName>
    <definedName name="_xlnm.Print_Titles" localSheetId="5">Rashodi!$1:$6</definedName>
    <definedName name="LABELTEXTCOLUMN1" localSheetId="19">#REF!</definedName>
    <definedName name="LABELTEXTCOLUMN1" localSheetId="11">#REF!</definedName>
    <definedName name="LABELTEXTCOLUMN1">#REF!</definedName>
    <definedName name="LABELTEXTROW1" localSheetId="19">#REF!</definedName>
    <definedName name="LABELTEXTROW1" localSheetId="11">#REF!</definedName>
    <definedName name="LABELTEXTROW1">#REF!</definedName>
    <definedName name="NOOFFFSEGMENTS1" localSheetId="19">#REF!</definedName>
    <definedName name="NOOFFFSEGMENTS1" localSheetId="11">#REF!</definedName>
    <definedName name="NOOFFFSEGMENTS1">#REF!</definedName>
    <definedName name="NUMBEROFDETAILFIELDS1" localSheetId="19">#REF!</definedName>
    <definedName name="NUMBEROFDETAILFIELDS1" localSheetId="11">#REF!</definedName>
    <definedName name="NUMBEROFDETAILFIELDS1">#REF!</definedName>
    <definedName name="NUMBEROFHEADERFIELDS1" localSheetId="19">#REF!</definedName>
    <definedName name="NUMBEROFHEADERFIELDS1" localSheetId="11">#REF!</definedName>
    <definedName name="NUMBEROFHEADERFIELDS1">#REF!</definedName>
    <definedName name="PERIODSETNAME1" localSheetId="19">#REF!</definedName>
    <definedName name="PERIODSETNAME1" localSheetId="11">#REF!</definedName>
    <definedName name="PERIODSETNAME1">#REF!</definedName>
    <definedName name="_xlnm.Print_Area" localSheetId="15">'10'!$A$1:$O$51</definedName>
    <definedName name="_xlnm.Print_Area" localSheetId="16">'11'!$A$1:$O$51</definedName>
    <definedName name="_xlnm.Print_Area" localSheetId="17">'12'!$A$1:$O$51</definedName>
    <definedName name="_xlnm.Print_Area" localSheetId="18">'13'!$A$1:$O$51</definedName>
    <definedName name="_xlnm.Print_Area" localSheetId="19">'14'!$A$1:$O$51</definedName>
    <definedName name="_xlnm.Print_Area" localSheetId="20">'15'!$A$1:$O$45</definedName>
    <definedName name="_xlnm.Print_Area" localSheetId="21">'16'!$A$1:$O$52</definedName>
    <definedName name="_xlnm.Print_Area" localSheetId="22">'17'!$A$1:$O$42</definedName>
    <definedName name="_xlnm.Print_Area" localSheetId="23">'18'!$A$1:$O$51</definedName>
    <definedName name="_xlnm.Print_Area" localSheetId="24">'19'!$A$1:$O$51</definedName>
    <definedName name="_xlnm.Print_Area" localSheetId="25">'20'!$A$1:$O$50</definedName>
    <definedName name="_xlnm.Print_Area" localSheetId="26">'21'!$A$1:$O$34</definedName>
    <definedName name="_xlnm.Print_Area" localSheetId="27">'22'!$A$1:$O$51</definedName>
    <definedName name="_xlnm.Print_Area" localSheetId="28">'23'!$A$1:$O$51</definedName>
    <definedName name="_xlnm.Print_Area" localSheetId="29">'24'!$A$1:$O$51</definedName>
    <definedName name="_xlnm.Print_Area" localSheetId="30">'25'!$A$1:$O$51</definedName>
    <definedName name="_xlnm.Print_Area" localSheetId="31">'26'!$A$1:$O$51</definedName>
    <definedName name="_xlnm.Print_Area" localSheetId="32">'27'!$A$1:$O$51</definedName>
    <definedName name="_xlnm.Print_Area" localSheetId="33">'28'!$A$1:$O$51</definedName>
    <definedName name="_xlnm.Print_Area" localSheetId="34">'29'!$A$1:$O$51</definedName>
    <definedName name="_xlnm.Print_Area" localSheetId="35">'30'!$A$1:$O$51</definedName>
    <definedName name="_xlnm.Print_Area" localSheetId="36">'31'!$A$1:$O$51</definedName>
    <definedName name="_xlnm.Print_Area" localSheetId="37">'32'!$A$1:$O$51</definedName>
    <definedName name="_xlnm.Print_Area" localSheetId="38">'33'!$A$1:$O$51</definedName>
    <definedName name="_xlnm.Print_Area" localSheetId="39">'34'!$A$1:$O$51</definedName>
    <definedName name="_xlnm.Print_Area" localSheetId="40">'35'!$A$1:$O$51</definedName>
    <definedName name="_xlnm.Print_Area" localSheetId="41">'36'!$A$1:$O$51</definedName>
    <definedName name="_xlnm.Print_Area" localSheetId="42">'37'!$A$1:$O$51</definedName>
    <definedName name="_xlnm.Print_Area" localSheetId="10">'5'!$A$1:$O$51</definedName>
    <definedName name="_xlnm.Print_Area" localSheetId="12">'7'!$A$1:$O$51</definedName>
    <definedName name="_xlnm.Print_Area" localSheetId="13">'8'!$A$1:$O$51</definedName>
    <definedName name="_xlnm.Print_Area" localSheetId="14">'9'!$A$1:$O$51</definedName>
    <definedName name="_xlnm.Print_Area" localSheetId="45">Funkcijska!$A$7:$F$106</definedName>
    <definedName name="_xlnm.Print_Area" localSheetId="46">'Kap.pror.'!$A$1:$F$44</definedName>
    <definedName name="_xlnm.Print_Area" localSheetId="47">Kraj!$A$1:$H$22</definedName>
    <definedName name="_xlnm.Print_Area" localSheetId="4">Prihodi!$B$4:$H$269</definedName>
    <definedName name="_xlnm.Print_Area" localSheetId="5">Rashodi!$C$7:$L$126</definedName>
    <definedName name="_xlnm.Print_Area" localSheetId="1">Sadrzaj!$A$1:$U$32</definedName>
    <definedName name="_xlnm.Print_Area" localSheetId="2">Uvod!$B$1:$H$49</definedName>
    <definedName name="POSTERRORSTOSUSP1" localSheetId="19">#REF!</definedName>
    <definedName name="POSTERRORSTOSUSP1" localSheetId="11">#REF!</definedName>
    <definedName name="POSTERRORSTOSUSP1">#REF!</definedName>
    <definedName name="RESPONSIBILITYAPPLICATIONID1" localSheetId="19">#REF!</definedName>
    <definedName name="RESPONSIBILITYAPPLICATIONID1" localSheetId="11">#REF!</definedName>
    <definedName name="RESPONSIBILITYAPPLICATIONID1">#REF!</definedName>
    <definedName name="RESPONSIBILITYID1" localSheetId="19">#REF!</definedName>
    <definedName name="RESPONSIBILITYID1" localSheetId="11">#REF!</definedName>
    <definedName name="RESPONSIBILITYID1">#REF!</definedName>
    <definedName name="RESPONSIBILITYNAME1" localSheetId="19">#REF!</definedName>
    <definedName name="RESPONSIBILITYNAME1" localSheetId="11">#REF!</definedName>
    <definedName name="RESPONSIBILITYNAME1">#REF!</definedName>
    <definedName name="ROWSTOUPLOAD1" localSheetId="19">#REF!</definedName>
    <definedName name="ROWSTOUPLOAD1" localSheetId="11">#REF!</definedName>
    <definedName name="ROWSTOUPLOAD1">#REF!</definedName>
    <definedName name="SETOFBOOKSID1" localSheetId="19">#REF!</definedName>
    <definedName name="SETOFBOOKSID1" localSheetId="11">#REF!</definedName>
    <definedName name="SETOFBOOKSID1">#REF!</definedName>
    <definedName name="SETOFBOOKSNAME1" localSheetId="19">#REF!</definedName>
    <definedName name="SETOFBOOKSNAME1" localSheetId="11">#REF!</definedName>
    <definedName name="SETOFBOOKSNAME1">#REF!</definedName>
    <definedName name="STARTJOURNALIMPORT1" localSheetId="19">#REF!</definedName>
    <definedName name="STARTJOURNALIMPORT1" localSheetId="11">#REF!</definedName>
    <definedName name="STARTJOURNALIMPORT1">#REF!</definedName>
    <definedName name="TEMPLATENUMBER1" localSheetId="19">#REF!</definedName>
    <definedName name="TEMPLATENUMBER1" localSheetId="11">#REF!</definedName>
    <definedName name="TEMPLATENUMBER1">#REF!</definedName>
    <definedName name="TEMPLATESTYLE1" localSheetId="19">#REF!</definedName>
    <definedName name="TEMPLATESTYLE1" localSheetId="11">#REF!</definedName>
    <definedName name="TEMPLATESTYLE1">#REF!</definedName>
    <definedName name="TEMPLATETYPE1" localSheetId="19">#REF!</definedName>
    <definedName name="TEMPLATETYPE1" localSheetId="11">#REF!</definedName>
    <definedName name="TEMPLATETYPE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300" l="1"/>
  <c r="L27" i="65084"/>
  <c r="L33" i="65075" l="1"/>
  <c r="E24" i="65125"/>
  <c r="F39" i="65125"/>
  <c r="F34" i="65125"/>
  <c r="F32" i="65125"/>
  <c r="F26" i="65125"/>
  <c r="F24" i="65125"/>
  <c r="L10" i="65087"/>
  <c r="L10" i="65085"/>
  <c r="L10" i="65083"/>
  <c r="L9" i="65096"/>
  <c r="L13" i="65089"/>
  <c r="L9" i="65089"/>
  <c r="L13" i="65088"/>
  <c r="L9" i="65088"/>
  <c r="L13" i="65087"/>
  <c r="L9" i="65087"/>
  <c r="L13" i="65086"/>
  <c r="L9" i="65086"/>
  <c r="L13" i="65085"/>
  <c r="L9" i="65085"/>
  <c r="L13" i="65084"/>
  <c r="L9" i="65084"/>
  <c r="L13" i="65083"/>
  <c r="L9" i="65083"/>
  <c r="L13" i="65122"/>
  <c r="L9" i="65122"/>
  <c r="L13" i="65082"/>
  <c r="L9" i="65082"/>
  <c r="L13" i="65079"/>
  <c r="L9" i="65079"/>
  <c r="L13" i="65070"/>
  <c r="L9" i="65070"/>
  <c r="L13" i="65069"/>
  <c r="L9" i="65069"/>
  <c r="G213" i="65139" l="1"/>
  <c r="L42" i="65080"/>
  <c r="M42" i="65080"/>
  <c r="L10" i="65093" l="1"/>
  <c r="L33" i="65095"/>
  <c r="L31" i="65076"/>
  <c r="L10" i="65105"/>
  <c r="L10" i="65098"/>
  <c r="L10" i="65097"/>
  <c r="L10" i="65096"/>
  <c r="L10" i="65095"/>
  <c r="L10" i="65094"/>
  <c r="L10" i="65089"/>
  <c r="L10" i="65088"/>
  <c r="L10" i="65086"/>
  <c r="L10" i="65084"/>
  <c r="L10" i="65122"/>
  <c r="L10" i="65081"/>
  <c r="L10" i="65082"/>
  <c r="L10" i="65080"/>
  <c r="L10" i="65079"/>
  <c r="L10" i="65078"/>
  <c r="L10" i="65077"/>
  <c r="L13" i="65076"/>
  <c r="L10" i="65075"/>
  <c r="L10" i="65141"/>
  <c r="L10" i="65115"/>
  <c r="L10" i="65100"/>
  <c r="L10" i="65074"/>
  <c r="L10" i="65071"/>
  <c r="L10" i="65070"/>
  <c r="L10" i="65069"/>
  <c r="L10" i="65068"/>
  <c r="L10" i="65140"/>
  <c r="L10" i="65123"/>
  <c r="L10" i="65099"/>
  <c r="L10" i="65067"/>
  <c r="L15" i="65065"/>
  <c r="L10" i="16"/>
  <c r="L47" i="65065"/>
  <c r="L13" i="65071" l="1"/>
  <c r="L9" i="65071"/>
  <c r="L13" i="65096"/>
  <c r="L22" i="65096"/>
  <c r="L28" i="65096"/>
  <c r="L27" i="65086"/>
  <c r="L27" i="65085"/>
  <c r="G223" i="65139"/>
  <c r="F223" i="65139"/>
  <c r="E223" i="65139"/>
  <c r="D223" i="65139"/>
  <c r="M33" i="65095"/>
  <c r="H235" i="65139"/>
  <c r="G214" i="65139" l="1"/>
  <c r="G92" i="65139"/>
  <c r="L28" i="65085" l="1"/>
  <c r="M27" i="65096" l="1"/>
  <c r="L27" i="65096"/>
  <c r="M47" i="65065" l="1"/>
  <c r="L28" i="65087"/>
  <c r="L27" i="65089" l="1"/>
  <c r="M27" i="65089"/>
  <c r="L27" i="65087"/>
  <c r="M27" i="65087"/>
  <c r="L27" i="65081"/>
  <c r="G238" i="65139"/>
  <c r="F238" i="65139"/>
  <c r="E238" i="65139"/>
  <c r="D238" i="65139"/>
  <c r="H253" i="65139"/>
  <c r="H249" i="65139" l="1"/>
  <c r="G143" i="65139" l="1"/>
  <c r="L24" i="65075" l="1"/>
  <c r="L24" i="65085"/>
  <c r="M24" i="65085"/>
  <c r="H232" i="65139"/>
  <c r="H231" i="65139"/>
  <c r="H225" i="65139"/>
  <c r="L27" i="65088"/>
  <c r="H224" i="65139"/>
  <c r="G148" i="65139"/>
  <c r="G114" i="65139"/>
  <c r="G101" i="65139"/>
  <c r="G66" i="65139"/>
  <c r="L13" i="65098"/>
  <c r="L9" i="65098"/>
  <c r="L13" i="65093"/>
  <c r="L9" i="65093"/>
  <c r="L13" i="65077"/>
  <c r="L9" i="65077"/>
  <c r="L13" i="65075"/>
  <c r="L9" i="65075"/>
  <c r="L13" i="65094"/>
  <c r="L9" i="65094"/>
  <c r="L13" i="65097"/>
  <c r="L9" i="65097"/>
  <c r="L16" i="65076"/>
  <c r="L12" i="65076"/>
  <c r="L9" i="65115"/>
  <c r="L13" i="65105"/>
  <c r="L9" i="65105"/>
  <c r="L13" i="16"/>
  <c r="L9" i="16"/>
  <c r="L15" i="65069"/>
  <c r="L13" i="65068"/>
  <c r="L9" i="65068"/>
  <c r="L13" i="65115"/>
  <c r="L13" i="65141"/>
  <c r="L9" i="65141"/>
  <c r="L13" i="65100"/>
  <c r="L9" i="65100"/>
  <c r="L13" i="65140"/>
  <c r="L9" i="65140"/>
  <c r="L13" i="65123"/>
  <c r="L9" i="65123"/>
  <c r="L13" i="65099"/>
  <c r="L9" i="65099"/>
  <c r="L13" i="65067"/>
  <c r="L9" i="65067"/>
  <c r="L19" i="65065"/>
  <c r="L14" i="65065"/>
  <c r="L13" i="65095"/>
  <c r="L9" i="65095"/>
  <c r="L13" i="65074"/>
  <c r="L9" i="65074"/>
  <c r="L13" i="65078"/>
  <c r="L9" i="65078"/>
  <c r="L13" i="65081"/>
  <c r="L9" i="65081"/>
  <c r="L13" i="65080"/>
  <c r="L9" i="65080"/>
  <c r="H242" i="65139" l="1"/>
  <c r="K26" i="65080" l="1"/>
  <c r="K28" i="65080"/>
  <c r="H244" i="65139" l="1"/>
  <c r="F213" i="65139"/>
  <c r="G14" i="65139"/>
  <c r="G15" i="65139"/>
  <c r="L8" i="65071" l="1"/>
  <c r="J26" i="65105" l="1"/>
  <c r="J15" i="65105"/>
  <c r="J12" i="65105"/>
  <c r="J8" i="65105"/>
  <c r="J26" i="65098"/>
  <c r="J15" i="65098"/>
  <c r="J12" i="65098"/>
  <c r="J8" i="65098"/>
  <c r="J26" i="65097"/>
  <c r="J15" i="65097"/>
  <c r="J12" i="65097"/>
  <c r="J8" i="65097"/>
  <c r="J26" i="65096"/>
  <c r="J15" i="65096"/>
  <c r="J12" i="65096"/>
  <c r="J8" i="65096"/>
  <c r="J30" i="65095"/>
  <c r="J26" i="65095"/>
  <c r="J15" i="65095"/>
  <c r="J12" i="65095"/>
  <c r="J8" i="65095"/>
  <c r="J26" i="65094"/>
  <c r="J15" i="65094"/>
  <c r="J12" i="65094"/>
  <c r="J8" i="65094"/>
  <c r="J29" i="65093"/>
  <c r="J26" i="65093"/>
  <c r="J15" i="65093"/>
  <c r="J12" i="65093"/>
  <c r="J8" i="65093"/>
  <c r="J26" i="65089"/>
  <c r="J15" i="65089"/>
  <c r="J12" i="65089"/>
  <c r="J8" i="65089"/>
  <c r="J27" i="65088"/>
  <c r="J26" i="65088" s="1"/>
  <c r="J15" i="65088"/>
  <c r="J12" i="65088"/>
  <c r="J8" i="65088"/>
  <c r="J26" i="65087"/>
  <c r="J15" i="65087"/>
  <c r="J12" i="65087"/>
  <c r="J8" i="65087"/>
  <c r="J26" i="65086"/>
  <c r="J15" i="65086"/>
  <c r="J12" i="65086"/>
  <c r="J8" i="65086"/>
  <c r="J26" i="65085"/>
  <c r="J15" i="65085"/>
  <c r="J12" i="65085"/>
  <c r="J8" i="65085"/>
  <c r="J26" i="65084"/>
  <c r="J15" i="65084"/>
  <c r="J12" i="65084"/>
  <c r="J8" i="65084"/>
  <c r="J26" i="65083"/>
  <c r="J15" i="65083"/>
  <c r="J12" i="65083"/>
  <c r="J8" i="65083"/>
  <c r="J26" i="65122"/>
  <c r="J15" i="65122"/>
  <c r="J12" i="65122"/>
  <c r="J8" i="65122"/>
  <c r="J26" i="65081"/>
  <c r="J15" i="65081"/>
  <c r="J12" i="65081"/>
  <c r="J8" i="65081"/>
  <c r="J26" i="65082"/>
  <c r="J15" i="65082"/>
  <c r="J12" i="65082"/>
  <c r="J8" i="65082"/>
  <c r="J43" i="65080"/>
  <c r="J41" i="65080" s="1"/>
  <c r="J30" i="65080"/>
  <c r="J15" i="65080"/>
  <c r="J12" i="65080"/>
  <c r="J8" i="65080"/>
  <c r="J36" i="65079"/>
  <c r="J32" i="65079"/>
  <c r="J26" i="65079"/>
  <c r="J15" i="65079"/>
  <c r="J12" i="65079"/>
  <c r="J8" i="65079"/>
  <c r="J30" i="65078"/>
  <c r="J27" i="65078"/>
  <c r="J15" i="65078"/>
  <c r="J12" i="65078"/>
  <c r="J8" i="65078"/>
  <c r="J32" i="65077"/>
  <c r="J26" i="65077"/>
  <c r="J15" i="65077"/>
  <c r="J12" i="65077"/>
  <c r="J8" i="65077"/>
  <c r="J43" i="65076"/>
  <c r="J39" i="65076"/>
  <c r="J35" i="65076"/>
  <c r="J30" i="65076"/>
  <c r="J28" i="65076"/>
  <c r="J25" i="65076"/>
  <c r="J18" i="65076"/>
  <c r="J15" i="65076"/>
  <c r="J11" i="65076"/>
  <c r="J8" i="65076"/>
  <c r="J35" i="65075"/>
  <c r="J31" i="65075"/>
  <c r="J27" i="65075"/>
  <c r="J15" i="65075"/>
  <c r="J12" i="65075"/>
  <c r="J8" i="65075"/>
  <c r="J26" i="65141"/>
  <c r="J15" i="65141"/>
  <c r="J12" i="65141"/>
  <c r="J8" i="65141"/>
  <c r="J26" i="65115"/>
  <c r="J15" i="65115"/>
  <c r="J12" i="65115"/>
  <c r="J8" i="65115"/>
  <c r="J26" i="65100"/>
  <c r="J15" i="65100"/>
  <c r="J12" i="65100"/>
  <c r="J8" i="65100"/>
  <c r="J26" i="65074"/>
  <c r="J15" i="65074"/>
  <c r="J12" i="65074"/>
  <c r="J8" i="65074"/>
  <c r="J27" i="65071"/>
  <c r="J15" i="65071"/>
  <c r="J12" i="65071"/>
  <c r="J8" i="65071"/>
  <c r="J28" i="65070"/>
  <c r="J15" i="65070"/>
  <c r="J12" i="65070"/>
  <c r="J8" i="65070"/>
  <c r="J28" i="65069"/>
  <c r="J17" i="65069"/>
  <c r="J12" i="65069"/>
  <c r="J8" i="65069"/>
  <c r="J26" i="65068"/>
  <c r="J15" i="65068"/>
  <c r="J12" i="65068"/>
  <c r="J8" i="65068"/>
  <c r="J29" i="65140"/>
  <c r="J26" i="65140"/>
  <c r="J15" i="65140"/>
  <c r="J12" i="65140"/>
  <c r="J8" i="65140"/>
  <c r="J26" i="65123"/>
  <c r="J15" i="65123"/>
  <c r="J12" i="65123"/>
  <c r="J8" i="65123"/>
  <c r="J26" i="65099"/>
  <c r="J15" i="65099"/>
  <c r="J12" i="65099"/>
  <c r="J8" i="65099"/>
  <c r="J26" i="65067"/>
  <c r="J15" i="65067"/>
  <c r="J12" i="65067"/>
  <c r="J8" i="65067"/>
  <c r="J45" i="65065"/>
  <c r="J42" i="65065"/>
  <c r="J34" i="65065"/>
  <c r="J21" i="65065"/>
  <c r="J18" i="65065"/>
  <c r="J13" i="65065"/>
  <c r="J8" i="65065"/>
  <c r="J26" i="16"/>
  <c r="J15" i="16"/>
  <c r="J12" i="16"/>
  <c r="J8" i="16"/>
  <c r="E266" i="65139"/>
  <c r="E265" i="65139" s="1"/>
  <c r="E264" i="65139" s="1"/>
  <c r="E258" i="65139"/>
  <c r="E255" i="65139"/>
  <c r="E237" i="65139"/>
  <c r="E222" i="65139"/>
  <c r="E221" i="65139" s="1"/>
  <c r="E216" i="65139"/>
  <c r="E215" i="65139" s="1"/>
  <c r="E212" i="65139"/>
  <c r="E209" i="65139"/>
  <c r="E206" i="65139"/>
  <c r="E192" i="65139"/>
  <c r="E190" i="65139" s="1"/>
  <c r="E189" i="65139" s="1"/>
  <c r="E178" i="65139"/>
  <c r="E177" i="65139" s="1"/>
  <c r="E170" i="65139"/>
  <c r="E166" i="65139"/>
  <c r="E154" i="65139" s="1"/>
  <c r="E146" i="65139"/>
  <c r="E145" i="65139"/>
  <c r="E142" i="65139"/>
  <c r="E140" i="65139"/>
  <c r="E138" i="65139"/>
  <c r="E136" i="65139"/>
  <c r="E134" i="65139"/>
  <c r="E131" i="65139"/>
  <c r="E125" i="65139"/>
  <c r="E120" i="65139"/>
  <c r="E112" i="65139"/>
  <c r="E106" i="65139"/>
  <c r="E99" i="65139"/>
  <c r="E98" i="65139" s="1"/>
  <c r="E95" i="65139"/>
  <c r="E90" i="65139"/>
  <c r="E88" i="65139" s="1"/>
  <c r="E85" i="65139"/>
  <c r="E83" i="65139"/>
  <c r="E80" i="65139"/>
  <c r="E78" i="65139"/>
  <c r="E76" i="65139"/>
  <c r="E73" i="65139"/>
  <c r="E68" i="65139"/>
  <c r="E64" i="65139"/>
  <c r="E57" i="65139"/>
  <c r="E56" i="65139" s="1"/>
  <c r="E53" i="65139"/>
  <c r="E49" i="65139"/>
  <c r="E39" i="65139"/>
  <c r="E38" i="65139" s="1"/>
  <c r="E36" i="65139"/>
  <c r="E34" i="65139"/>
  <c r="E29" i="65139"/>
  <c r="E21" i="65139"/>
  <c r="E20" i="65139" s="1"/>
  <c r="E17" i="65139"/>
  <c r="E16" i="65139" s="1"/>
  <c r="E13" i="65139"/>
  <c r="E7" i="65139"/>
  <c r="E6" i="65139" l="1"/>
  <c r="E63" i="65139"/>
  <c r="E48" i="65139"/>
  <c r="E47" i="65139" s="1"/>
  <c r="E199" i="65139"/>
  <c r="E197" i="65139" s="1"/>
  <c r="E196" i="65139" s="1"/>
  <c r="E195" i="65139" s="1"/>
  <c r="E188" i="65139" s="1"/>
  <c r="E28" i="65139"/>
  <c r="E87" i="65139"/>
  <c r="E111" i="65139"/>
  <c r="E133" i="65139"/>
  <c r="E236" i="65139"/>
  <c r="E220" i="65139" s="1"/>
  <c r="E5" i="65139" l="1"/>
  <c r="E105" i="65139"/>
  <c r="E82" i="65139" s="1"/>
  <c r="E62" i="65139" s="1"/>
  <c r="E186" i="65139" l="1"/>
  <c r="E262" i="65139" s="1"/>
  <c r="E269" i="65139" s="1"/>
  <c r="K26" i="65105"/>
  <c r="K15" i="65105"/>
  <c r="K12" i="65105"/>
  <c r="K8" i="65105"/>
  <c r="K26" i="65098"/>
  <c r="K15" i="65098"/>
  <c r="K12" i="65098"/>
  <c r="K8" i="65098"/>
  <c r="K26" i="65097"/>
  <c r="K15" i="65097"/>
  <c r="K12" i="65097"/>
  <c r="K8" i="65097"/>
  <c r="K26" i="65096"/>
  <c r="K15" i="65096"/>
  <c r="K12" i="65096"/>
  <c r="K8" i="65096"/>
  <c r="K30" i="65095"/>
  <c r="K26" i="65095"/>
  <c r="K15" i="65095"/>
  <c r="K12" i="65095"/>
  <c r="K8" i="65095"/>
  <c r="K26" i="65094"/>
  <c r="K15" i="65094"/>
  <c r="K12" i="65094"/>
  <c r="K8" i="65094"/>
  <c r="K29" i="65093"/>
  <c r="K26" i="65093"/>
  <c r="K15" i="65093"/>
  <c r="K12" i="65093"/>
  <c r="K8" i="65093"/>
  <c r="K26" i="65089"/>
  <c r="K15" i="65089"/>
  <c r="K12" i="65089"/>
  <c r="K8" i="65089"/>
  <c r="K26" i="65088"/>
  <c r="K15" i="65088"/>
  <c r="K12" i="65088"/>
  <c r="K8" i="65088"/>
  <c r="K26" i="65087"/>
  <c r="K15" i="65087"/>
  <c r="K12" i="65087"/>
  <c r="K8" i="65087"/>
  <c r="K26" i="65086"/>
  <c r="K15" i="65086"/>
  <c r="K12" i="65086"/>
  <c r="K8" i="65086"/>
  <c r="K26" i="65085"/>
  <c r="K15" i="65085"/>
  <c r="K12" i="65085"/>
  <c r="K8" i="65085"/>
  <c r="K26" i="65084"/>
  <c r="K15" i="65084"/>
  <c r="K12" i="65084"/>
  <c r="K8" i="65084"/>
  <c r="K26" i="65083"/>
  <c r="K15" i="65083"/>
  <c r="K12" i="65083"/>
  <c r="K8" i="65083"/>
  <c r="K26" i="65122"/>
  <c r="K15" i="65122"/>
  <c r="K12" i="65122"/>
  <c r="K8" i="65122"/>
  <c r="K26" i="65081"/>
  <c r="K15" i="65081"/>
  <c r="K12" i="65081"/>
  <c r="K8" i="65081"/>
  <c r="K26" i="65082"/>
  <c r="K15" i="65082"/>
  <c r="K12" i="65082"/>
  <c r="K8" i="65082"/>
  <c r="K41" i="65080"/>
  <c r="K30" i="65080"/>
  <c r="K15" i="65080"/>
  <c r="K12" i="65080"/>
  <c r="K8" i="65080"/>
  <c r="K36" i="65079"/>
  <c r="K32" i="65079"/>
  <c r="K26" i="65079"/>
  <c r="K15" i="65079"/>
  <c r="K12" i="65079"/>
  <c r="K8" i="65079"/>
  <c r="K30" i="65078"/>
  <c r="K27" i="65078"/>
  <c r="K15" i="65078"/>
  <c r="K12" i="65078"/>
  <c r="K8" i="65078"/>
  <c r="K32" i="65077"/>
  <c r="K26" i="65077"/>
  <c r="K15" i="65077"/>
  <c r="K12" i="65077"/>
  <c r="K8" i="65077"/>
  <c r="K43" i="65076"/>
  <c r="K39" i="65076"/>
  <c r="K35" i="65076"/>
  <c r="K30" i="65076"/>
  <c r="K18" i="65076"/>
  <c r="K15" i="65076"/>
  <c r="K11" i="65076"/>
  <c r="K8" i="65076"/>
  <c r="K35" i="65075"/>
  <c r="K31" i="65075"/>
  <c r="K27" i="65075"/>
  <c r="K15" i="65075"/>
  <c r="K12" i="65075"/>
  <c r="K8" i="65075"/>
  <c r="K26" i="65141"/>
  <c r="K15" i="65141"/>
  <c r="K12" i="65141"/>
  <c r="K8" i="65141"/>
  <c r="K26" i="65115"/>
  <c r="K15" i="65115"/>
  <c r="K12" i="65115"/>
  <c r="K8" i="65115"/>
  <c r="K26" i="65100"/>
  <c r="K15" i="65100"/>
  <c r="K12" i="65100"/>
  <c r="K8" i="65100"/>
  <c r="K27" i="65074"/>
  <c r="K26" i="65074"/>
  <c r="K15" i="65074"/>
  <c r="K12" i="65074"/>
  <c r="K8" i="65074"/>
  <c r="K27" i="65071"/>
  <c r="K15" i="65071"/>
  <c r="K12" i="65071"/>
  <c r="K8" i="65071"/>
  <c r="K28" i="65070"/>
  <c r="K15" i="65070"/>
  <c r="K12" i="65070"/>
  <c r="K8" i="65070"/>
  <c r="K28" i="65069"/>
  <c r="K17" i="65069"/>
  <c r="K13" i="65069"/>
  <c r="K12" i="65069"/>
  <c r="K8" i="65069"/>
  <c r="K26" i="65068"/>
  <c r="K15" i="65068"/>
  <c r="K12" i="65068"/>
  <c r="K8" i="65068"/>
  <c r="K29" i="65140"/>
  <c r="K26" i="65140"/>
  <c r="K15" i="65140"/>
  <c r="K12" i="65140"/>
  <c r="K8" i="65140"/>
  <c r="K26" i="65123"/>
  <c r="K15" i="65123"/>
  <c r="K12" i="65123"/>
  <c r="K8" i="65123"/>
  <c r="K26" i="65099"/>
  <c r="K15" i="65099"/>
  <c r="K12" i="65099"/>
  <c r="K8" i="65099"/>
  <c r="K26" i="65067"/>
  <c r="K15" i="65067"/>
  <c r="K12" i="65067"/>
  <c r="K8" i="65067"/>
  <c r="K45" i="65065"/>
  <c r="K42" i="65065"/>
  <c r="K34" i="65065"/>
  <c r="K21" i="65065"/>
  <c r="K18" i="65065"/>
  <c r="K13" i="65065"/>
  <c r="K8" i="65065"/>
  <c r="J52" i="65065"/>
  <c r="H163" i="65139" l="1"/>
  <c r="H251" i="65139" l="1"/>
  <c r="H241" i="65139"/>
  <c r="H240" i="65139"/>
  <c r="H229" i="65139"/>
  <c r="H248" i="65139" l="1"/>
  <c r="H247" i="65139"/>
  <c r="G72" i="65139" l="1"/>
  <c r="H268" i="65139" l="1"/>
  <c r="H267" i="65139"/>
  <c r="H263" i="65139"/>
  <c r="H261" i="65139"/>
  <c r="H260" i="65139"/>
  <c r="H259" i="65139"/>
  <c r="H257" i="65139"/>
  <c r="H256" i="65139"/>
  <c r="H254" i="65139"/>
  <c r="H252" i="65139"/>
  <c r="H250" i="65139"/>
  <c r="H246" i="65139"/>
  <c r="H245" i="65139"/>
  <c r="H243" i="65139"/>
  <c r="H239" i="65139"/>
  <c r="H234" i="65139"/>
  <c r="H233" i="65139"/>
  <c r="H230" i="65139"/>
  <c r="H228" i="65139"/>
  <c r="H227" i="65139"/>
  <c r="H226" i="65139"/>
  <c r="H219" i="65139"/>
  <c r="H218" i="65139"/>
  <c r="H217" i="65139"/>
  <c r="H214" i="65139"/>
  <c r="H213" i="65139"/>
  <c r="H211" i="65139"/>
  <c r="H210" i="65139"/>
  <c r="H208" i="65139"/>
  <c r="H207" i="65139"/>
  <c r="H205" i="65139"/>
  <c r="H203" i="65139"/>
  <c r="H202" i="65139"/>
  <c r="H201" i="65139"/>
  <c r="H200" i="65139"/>
  <c r="H198" i="65139"/>
  <c r="H194" i="65139"/>
  <c r="H193" i="65139"/>
  <c r="H191" i="65139"/>
  <c r="H187" i="65139"/>
  <c r="H185" i="65139"/>
  <c r="H184" i="65139"/>
  <c r="H183" i="65139"/>
  <c r="H182" i="65139"/>
  <c r="H181" i="65139"/>
  <c r="H180" i="65139"/>
  <c r="H179" i="65139"/>
  <c r="H176" i="65139"/>
  <c r="H175" i="65139"/>
  <c r="H174" i="65139"/>
  <c r="H173" i="65139"/>
  <c r="H172" i="65139"/>
  <c r="H171" i="65139"/>
  <c r="H169" i="65139"/>
  <c r="H168" i="65139"/>
  <c r="H167" i="65139"/>
  <c r="H165" i="65139"/>
  <c r="H164" i="65139"/>
  <c r="H162" i="65139"/>
  <c r="H161" i="65139"/>
  <c r="H160" i="65139"/>
  <c r="H159" i="65139"/>
  <c r="H158" i="65139"/>
  <c r="H157" i="65139"/>
  <c r="H156" i="65139"/>
  <c r="H155" i="65139"/>
  <c r="H153" i="65139"/>
  <c r="H152" i="65139"/>
  <c r="H151" i="65139"/>
  <c r="H150" i="65139"/>
  <c r="H149" i="65139"/>
  <c r="H148" i="65139"/>
  <c r="H147" i="65139"/>
  <c r="H144" i="65139"/>
  <c r="H143" i="65139"/>
  <c r="H141" i="65139"/>
  <c r="H139" i="65139"/>
  <c r="H137" i="65139"/>
  <c r="H135" i="65139"/>
  <c r="H132" i="65139"/>
  <c r="H130" i="65139"/>
  <c r="H129" i="65139"/>
  <c r="H128" i="65139"/>
  <c r="H127" i="65139"/>
  <c r="H126" i="65139"/>
  <c r="H124" i="65139"/>
  <c r="H123" i="65139"/>
  <c r="H122" i="65139"/>
  <c r="H121" i="65139"/>
  <c r="H119" i="65139"/>
  <c r="H118" i="65139"/>
  <c r="H117" i="65139"/>
  <c r="H116" i="65139"/>
  <c r="H115" i="65139"/>
  <c r="H114" i="65139"/>
  <c r="H113" i="65139"/>
  <c r="H110" i="65139"/>
  <c r="H109" i="65139"/>
  <c r="H108" i="65139"/>
  <c r="H107" i="65139"/>
  <c r="H104" i="65139"/>
  <c r="H103" i="65139"/>
  <c r="H102" i="65139"/>
  <c r="H101" i="65139"/>
  <c r="H100" i="65139"/>
  <c r="H97" i="65139"/>
  <c r="H96" i="65139"/>
  <c r="H94" i="65139"/>
  <c r="H93" i="65139"/>
  <c r="H92" i="65139"/>
  <c r="H91" i="65139"/>
  <c r="H89" i="65139"/>
  <c r="H86" i="65139"/>
  <c r="H84" i="65139"/>
  <c r="H81" i="65139"/>
  <c r="H79" i="65139"/>
  <c r="H77" i="65139"/>
  <c r="H75" i="65139"/>
  <c r="H74" i="65139"/>
  <c r="H72" i="65139"/>
  <c r="H71" i="65139"/>
  <c r="H70" i="65139"/>
  <c r="H69" i="65139"/>
  <c r="H67" i="65139"/>
  <c r="H65" i="65139"/>
  <c r="H61" i="65139"/>
  <c r="H60" i="65139"/>
  <c r="H59" i="65139"/>
  <c r="H58" i="65139"/>
  <c r="H55" i="65139"/>
  <c r="H54" i="65139"/>
  <c r="H52" i="65139"/>
  <c r="H51" i="65139"/>
  <c r="H50" i="65139"/>
  <c r="H46" i="65139"/>
  <c r="H45" i="65139"/>
  <c r="H44" i="65139"/>
  <c r="H43" i="65139"/>
  <c r="H42" i="65139"/>
  <c r="H41" i="65139"/>
  <c r="H40" i="65139"/>
  <c r="H37" i="65139"/>
  <c r="H35" i="65139"/>
  <c r="H33" i="65139"/>
  <c r="H32" i="65139"/>
  <c r="H31" i="65139"/>
  <c r="H30" i="65139"/>
  <c r="H27" i="65139"/>
  <c r="H26" i="65139"/>
  <c r="H25" i="65139"/>
  <c r="H24" i="65139"/>
  <c r="H23" i="65139"/>
  <c r="H22" i="65139"/>
  <c r="H19" i="65139"/>
  <c r="H18" i="65139"/>
  <c r="H15" i="65139"/>
  <c r="H14" i="65139"/>
  <c r="H12" i="65139"/>
  <c r="H11" i="65139"/>
  <c r="H10" i="65139"/>
  <c r="H9" i="65139"/>
  <c r="H8" i="65139"/>
  <c r="G266" i="65139"/>
  <c r="G265" i="65139" s="1"/>
  <c r="G264" i="65139" s="1"/>
  <c r="G258" i="65139"/>
  <c r="G21" i="304" s="1"/>
  <c r="G255" i="65139"/>
  <c r="G237" i="65139"/>
  <c r="G216" i="65139"/>
  <c r="G215" i="65139" s="1"/>
  <c r="G212" i="65139"/>
  <c r="G206" i="65139"/>
  <c r="G192" i="65139"/>
  <c r="G190" i="65139" s="1"/>
  <c r="G189" i="65139" s="1"/>
  <c r="G178" i="65139"/>
  <c r="G170" i="65139"/>
  <c r="G166" i="65139"/>
  <c r="G154" i="65139" s="1"/>
  <c r="G146" i="65139"/>
  <c r="G142" i="65139"/>
  <c r="G140" i="65139"/>
  <c r="G138" i="65139"/>
  <c r="H138" i="65139" s="1"/>
  <c r="G136" i="65139"/>
  <c r="G134" i="65139"/>
  <c r="G131" i="65139"/>
  <c r="G125" i="65139"/>
  <c r="G120" i="65139"/>
  <c r="G112" i="65139"/>
  <c r="G106" i="65139"/>
  <c r="G99" i="65139"/>
  <c r="G98" i="65139" s="1"/>
  <c r="G95" i="65139"/>
  <c r="G90" i="65139"/>
  <c r="G85" i="65139"/>
  <c r="G83" i="65139"/>
  <c r="G80" i="65139"/>
  <c r="G78" i="65139"/>
  <c r="G76" i="65139"/>
  <c r="G73" i="65139"/>
  <c r="G68" i="65139"/>
  <c r="G57" i="65139"/>
  <c r="G56" i="65139" s="1"/>
  <c r="G53" i="65139"/>
  <c r="G49" i="65139"/>
  <c r="G39" i="65139"/>
  <c r="G38" i="65139" s="1"/>
  <c r="G36" i="65139"/>
  <c r="G34" i="65139"/>
  <c r="H34" i="65139" s="1"/>
  <c r="G29" i="65139"/>
  <c r="G21" i="65139"/>
  <c r="G20" i="65139" s="1"/>
  <c r="G17" i="65139"/>
  <c r="G16" i="65139" s="1"/>
  <c r="G13" i="65139"/>
  <c r="G7" i="65139"/>
  <c r="F266" i="65139"/>
  <c r="F265" i="65139" s="1"/>
  <c r="F264" i="65139" s="1"/>
  <c r="F258" i="65139"/>
  <c r="F21" i="304" s="1"/>
  <c r="F255" i="65139"/>
  <c r="F237" i="65139"/>
  <c r="F222" i="65139"/>
  <c r="F221" i="65139" s="1"/>
  <c r="F216" i="65139"/>
  <c r="F215" i="65139" s="1"/>
  <c r="F212" i="65139"/>
  <c r="F209" i="65139"/>
  <c r="F206" i="65139"/>
  <c r="F192" i="65139"/>
  <c r="F190" i="65139" s="1"/>
  <c r="F189" i="65139" s="1"/>
  <c r="F178" i="65139"/>
  <c r="F177" i="65139" s="1"/>
  <c r="F170" i="65139"/>
  <c r="F166" i="65139"/>
  <c r="F154" i="65139" s="1"/>
  <c r="F146" i="65139"/>
  <c r="F145" i="65139" s="1"/>
  <c r="F142" i="65139"/>
  <c r="F140" i="65139"/>
  <c r="F138" i="65139"/>
  <c r="F136" i="65139"/>
  <c r="F134" i="65139"/>
  <c r="F131" i="65139"/>
  <c r="F125" i="65139"/>
  <c r="F120" i="65139"/>
  <c r="F112" i="65139"/>
  <c r="F106" i="65139"/>
  <c r="F99" i="65139"/>
  <c r="F98" i="65139" s="1"/>
  <c r="F95" i="65139"/>
  <c r="F90" i="65139"/>
  <c r="F88" i="65139" s="1"/>
  <c r="F85" i="65139"/>
  <c r="F83" i="65139"/>
  <c r="F80" i="65139"/>
  <c r="F78" i="65139"/>
  <c r="F76" i="65139"/>
  <c r="F73" i="65139"/>
  <c r="F68" i="65139"/>
  <c r="F64" i="65139"/>
  <c r="F57" i="65139"/>
  <c r="F56" i="65139" s="1"/>
  <c r="F53" i="65139"/>
  <c r="F49" i="65139"/>
  <c r="F39" i="65139"/>
  <c r="F38" i="65139" s="1"/>
  <c r="F36" i="65139"/>
  <c r="F34" i="65139"/>
  <c r="F29" i="65139"/>
  <c r="F21" i="65139"/>
  <c r="F20" i="65139" s="1"/>
  <c r="F17" i="65139"/>
  <c r="F16" i="65139" s="1"/>
  <c r="F13" i="65139"/>
  <c r="F7" i="65139"/>
  <c r="H266" i="65139"/>
  <c r="D266" i="65139"/>
  <c r="D265" i="65139" s="1"/>
  <c r="D264" i="65139" s="1"/>
  <c r="E21" i="304"/>
  <c r="D258" i="65139"/>
  <c r="D21" i="304" s="1"/>
  <c r="H255" i="65139"/>
  <c r="D255" i="65139"/>
  <c r="D237" i="65139"/>
  <c r="D222" i="65139"/>
  <c r="D221" i="65139" s="1"/>
  <c r="H215" i="65139"/>
  <c r="D216" i="65139"/>
  <c r="D215" i="65139" s="1"/>
  <c r="D212" i="65139"/>
  <c r="D209" i="65139"/>
  <c r="D206" i="65139"/>
  <c r="H189" i="65139"/>
  <c r="D192" i="65139"/>
  <c r="D190" i="65139" s="1"/>
  <c r="D189" i="65139" s="1"/>
  <c r="D178" i="65139"/>
  <c r="D177" i="65139" s="1"/>
  <c r="D170" i="65139"/>
  <c r="D166" i="65139"/>
  <c r="D154" i="65139" s="1"/>
  <c r="D146" i="65139"/>
  <c r="D145" i="65139" s="1"/>
  <c r="D142" i="65139"/>
  <c r="D140" i="65139"/>
  <c r="D138" i="65139"/>
  <c r="D136" i="65139"/>
  <c r="D134" i="65139"/>
  <c r="D131" i="65139"/>
  <c r="D125" i="65139"/>
  <c r="H120" i="65139"/>
  <c r="D120" i="65139"/>
  <c r="D112" i="65139"/>
  <c r="D106" i="65139"/>
  <c r="D99" i="65139"/>
  <c r="D98" i="65139" s="1"/>
  <c r="D95" i="65139"/>
  <c r="D90" i="65139"/>
  <c r="D88" i="65139" s="1"/>
  <c r="D85" i="65139"/>
  <c r="D83" i="65139"/>
  <c r="H80" i="65139"/>
  <c r="D80" i="65139"/>
  <c r="H78" i="65139"/>
  <c r="D78" i="65139"/>
  <c r="D76" i="65139"/>
  <c r="H73" i="65139"/>
  <c r="D73" i="65139"/>
  <c r="D68" i="65139"/>
  <c r="D64" i="65139"/>
  <c r="D57" i="65139"/>
  <c r="D56" i="65139" s="1"/>
  <c r="D53" i="65139"/>
  <c r="D49" i="65139"/>
  <c r="D39" i="65139"/>
  <c r="D38" i="65139" s="1"/>
  <c r="D36" i="65139"/>
  <c r="D34" i="65139"/>
  <c r="D29" i="65139"/>
  <c r="D21" i="65139"/>
  <c r="D20" i="65139" s="1"/>
  <c r="D17" i="65139"/>
  <c r="D16" i="65139" s="1"/>
  <c r="D13" i="65139"/>
  <c r="D7" i="65139"/>
  <c r="J71" i="300"/>
  <c r="I71" i="300"/>
  <c r="H71" i="300"/>
  <c r="G71" i="300"/>
  <c r="F71" i="300"/>
  <c r="J62" i="300"/>
  <c r="I62" i="300"/>
  <c r="H62" i="300"/>
  <c r="G62" i="300"/>
  <c r="F62" i="300"/>
  <c r="J50" i="300"/>
  <c r="I50" i="300"/>
  <c r="H50" i="300"/>
  <c r="G50" i="300"/>
  <c r="F50" i="300"/>
  <c r="J19" i="300"/>
  <c r="I19" i="300"/>
  <c r="H19" i="300"/>
  <c r="G19" i="300"/>
  <c r="F19" i="300"/>
  <c r="I26" i="65105"/>
  <c r="I15" i="65105"/>
  <c r="I12" i="65105"/>
  <c r="I8" i="65105"/>
  <c r="I26" i="65098"/>
  <c r="I15" i="65098"/>
  <c r="I12" i="65098"/>
  <c r="I8" i="65098"/>
  <c r="I26" i="65097"/>
  <c r="I15" i="65097"/>
  <c r="I12" i="65097"/>
  <c r="I8" i="65097"/>
  <c r="I26" i="65096"/>
  <c r="I15" i="65096"/>
  <c r="I12" i="65096"/>
  <c r="I8" i="65096"/>
  <c r="I30" i="65095"/>
  <c r="I26" i="65095"/>
  <c r="I15" i="65095"/>
  <c r="I12" i="65095"/>
  <c r="I8" i="65095"/>
  <c r="I26" i="65094"/>
  <c r="I15" i="65094"/>
  <c r="I12" i="65094"/>
  <c r="I8" i="65094"/>
  <c r="I29" i="65093"/>
  <c r="I26" i="65093"/>
  <c r="I15" i="65093"/>
  <c r="I12" i="65093"/>
  <c r="I8" i="65093"/>
  <c r="I26" i="65089"/>
  <c r="I15" i="65089"/>
  <c r="I12" i="65089"/>
  <c r="I8" i="65089"/>
  <c r="I26" i="65088"/>
  <c r="I15" i="65088"/>
  <c r="I12" i="65088"/>
  <c r="I8" i="65088"/>
  <c r="I26" i="65087"/>
  <c r="I15" i="65087"/>
  <c r="I12" i="65087"/>
  <c r="I8" i="65087"/>
  <c r="I26" i="65086"/>
  <c r="I15" i="65086"/>
  <c r="I12" i="65086"/>
  <c r="I8" i="65086"/>
  <c r="I26" i="65085"/>
  <c r="I15" i="65085"/>
  <c r="I12" i="65085"/>
  <c r="I8" i="65085"/>
  <c r="I26" i="65084"/>
  <c r="I15" i="65084"/>
  <c r="I12" i="65084"/>
  <c r="I8" i="65084"/>
  <c r="I26" i="65083"/>
  <c r="I15" i="65083"/>
  <c r="I12" i="65083"/>
  <c r="I8" i="65083"/>
  <c r="I26" i="65122"/>
  <c r="I15" i="65122"/>
  <c r="I12" i="65122"/>
  <c r="I8" i="65122"/>
  <c r="I26" i="65081"/>
  <c r="I15" i="65081"/>
  <c r="I12" i="65081"/>
  <c r="I8" i="65081"/>
  <c r="I26" i="65082"/>
  <c r="I15" i="65082"/>
  <c r="I12" i="65082"/>
  <c r="I8" i="65082"/>
  <c r="I41" i="65080"/>
  <c r="I30" i="65080"/>
  <c r="I15" i="65080"/>
  <c r="I12" i="65080"/>
  <c r="I8" i="65080"/>
  <c r="I36" i="65079"/>
  <c r="I32" i="65079"/>
  <c r="I26" i="65079"/>
  <c r="I15" i="65079"/>
  <c r="I12" i="65079"/>
  <c r="I8" i="65079"/>
  <c r="I30" i="65078"/>
  <c r="I27" i="65078"/>
  <c r="I15" i="65078"/>
  <c r="I12" i="65078"/>
  <c r="I8" i="65078"/>
  <c r="I32" i="65077"/>
  <c r="I26" i="65077"/>
  <c r="I15" i="65077"/>
  <c r="I12" i="65077"/>
  <c r="I8" i="65077"/>
  <c r="I43" i="65076"/>
  <c r="I39" i="65076"/>
  <c r="I35" i="65076"/>
  <c r="I30" i="65076"/>
  <c r="I18" i="65076"/>
  <c r="I15" i="65076"/>
  <c r="I11" i="65076"/>
  <c r="I8" i="65076"/>
  <c r="I35" i="65075"/>
  <c r="I31" i="65075"/>
  <c r="I27" i="65075"/>
  <c r="I15" i="65075"/>
  <c r="I12" i="65075"/>
  <c r="I8" i="65075"/>
  <c r="I26" i="65141"/>
  <c r="I15" i="65141"/>
  <c r="I12" i="65141"/>
  <c r="I8" i="65141"/>
  <c r="I26" i="65115"/>
  <c r="I15" i="65115"/>
  <c r="I12" i="65115"/>
  <c r="I8" i="65115"/>
  <c r="I26" i="65100"/>
  <c r="I15" i="65100"/>
  <c r="I12" i="65100"/>
  <c r="I8" i="65100"/>
  <c r="I26" i="65074"/>
  <c r="I15" i="65074"/>
  <c r="I12" i="65074"/>
  <c r="I8" i="65074"/>
  <c r="I27" i="65071"/>
  <c r="I15" i="65071"/>
  <c r="I12" i="65071"/>
  <c r="I8" i="65071"/>
  <c r="I28" i="65070"/>
  <c r="I15" i="65070"/>
  <c r="I12" i="65070"/>
  <c r="I8" i="65070"/>
  <c r="I28" i="65069"/>
  <c r="I17" i="65069"/>
  <c r="I12" i="65069"/>
  <c r="I8" i="65069"/>
  <c r="I26" i="65068"/>
  <c r="I15" i="65068"/>
  <c r="I12" i="65068"/>
  <c r="I8" i="65068"/>
  <c r="I29" i="65140"/>
  <c r="I26" i="65140"/>
  <c r="I15" i="65140"/>
  <c r="I12" i="65140"/>
  <c r="I8" i="65140"/>
  <c r="I26" i="65123"/>
  <c r="I15" i="65123"/>
  <c r="I12" i="65123"/>
  <c r="I8" i="65123"/>
  <c r="I26" i="65099"/>
  <c r="I15" i="65099"/>
  <c r="I12" i="65099"/>
  <c r="I8" i="65099"/>
  <c r="I26" i="65067"/>
  <c r="I15" i="65067"/>
  <c r="I12" i="65067"/>
  <c r="I8" i="65067"/>
  <c r="I45" i="65065"/>
  <c r="I34" i="65065"/>
  <c r="I21" i="65065"/>
  <c r="I18" i="65065"/>
  <c r="I13" i="65065"/>
  <c r="I8" i="65065"/>
  <c r="I26" i="16"/>
  <c r="I15" i="16"/>
  <c r="I12" i="16"/>
  <c r="I8" i="16"/>
  <c r="G88" i="65139" l="1"/>
  <c r="G145" i="65139"/>
  <c r="H145" i="65139" s="1"/>
  <c r="H125" i="65139"/>
  <c r="H238" i="65139"/>
  <c r="H154" i="65139"/>
  <c r="F236" i="65139"/>
  <c r="F220" i="65139" s="1"/>
  <c r="F20" i="304" s="1"/>
  <c r="D111" i="65139"/>
  <c r="D199" i="65139"/>
  <c r="D197" i="65139" s="1"/>
  <c r="D196" i="65139" s="1"/>
  <c r="D195" i="65139" s="1"/>
  <c r="D188" i="65139" s="1"/>
  <c r="D19" i="304" s="1"/>
  <c r="H264" i="65139"/>
  <c r="H56" i="65139"/>
  <c r="H106" i="65139"/>
  <c r="H131" i="65139"/>
  <c r="H140" i="65139"/>
  <c r="H170" i="65139"/>
  <c r="H134" i="65139"/>
  <c r="H142" i="65139"/>
  <c r="H7" i="65139"/>
  <c r="D48" i="65139"/>
  <c r="D47" i="65139" s="1"/>
  <c r="F199" i="65139"/>
  <c r="F197" i="65139" s="1"/>
  <c r="F196" i="65139" s="1"/>
  <c r="F195" i="65139" s="1"/>
  <c r="F188" i="65139" s="1"/>
  <c r="F19" i="304" s="1"/>
  <c r="H212" i="65139"/>
  <c r="H136" i="65139"/>
  <c r="D236" i="65139"/>
  <c r="D220" i="65139" s="1"/>
  <c r="D20" i="304" s="1"/>
  <c r="F48" i="65139"/>
  <c r="F47" i="65139" s="1"/>
  <c r="H88" i="65139"/>
  <c r="H68" i="65139"/>
  <c r="F111" i="65139"/>
  <c r="H204" i="65139"/>
  <c r="G199" i="65139"/>
  <c r="G197" i="65139" s="1"/>
  <c r="H190" i="65139"/>
  <c r="H216" i="65139"/>
  <c r="D28" i="65139"/>
  <c r="H53" i="65139"/>
  <c r="H83" i="65139"/>
  <c r="H99" i="65139"/>
  <c r="E19" i="304"/>
  <c r="F87" i="65139"/>
  <c r="H16" i="65139"/>
  <c r="H36" i="65139"/>
  <c r="H76" i="65139"/>
  <c r="H223" i="65139"/>
  <c r="H166" i="65139"/>
  <c r="D63" i="65139"/>
  <c r="F6" i="65139"/>
  <c r="F28" i="65139"/>
  <c r="H112" i="65139"/>
  <c r="H178" i="65139"/>
  <c r="H209" i="65139"/>
  <c r="G236" i="65139"/>
  <c r="H95" i="65139"/>
  <c r="H85" i="65139"/>
  <c r="H20" i="65139"/>
  <c r="H38" i="65139"/>
  <c r="H49" i="65139"/>
  <c r="G48" i="65139"/>
  <c r="G47" i="65139" s="1"/>
  <c r="F133" i="65139"/>
  <c r="D87" i="65139"/>
  <c r="D133" i="65139"/>
  <c r="G28" i="65139"/>
  <c r="H13" i="65139"/>
  <c r="H17" i="65139"/>
  <c r="H21" i="65139"/>
  <c r="H29" i="65139"/>
  <c r="H57" i="65139"/>
  <c r="H90" i="65139"/>
  <c r="H146" i="65139"/>
  <c r="H39" i="65139"/>
  <c r="F63" i="65139"/>
  <c r="G111" i="65139"/>
  <c r="D6" i="65139"/>
  <c r="H98" i="65139"/>
  <c r="H206" i="65139"/>
  <c r="G222" i="65139"/>
  <c r="G221" i="65139" s="1"/>
  <c r="H221" i="65139" s="1"/>
  <c r="H192" i="65139"/>
  <c r="H258" i="65139"/>
  <c r="G177" i="65139"/>
  <c r="H177" i="65139" s="1"/>
  <c r="G133" i="65139"/>
  <c r="G87" i="65139"/>
  <c r="G6" i="65139"/>
  <c r="G196" i="65139" l="1"/>
  <c r="G195" i="65139" s="1"/>
  <c r="H236" i="65139"/>
  <c r="D105" i="65139"/>
  <c r="D82" i="65139" s="1"/>
  <c r="D62" i="65139" s="1"/>
  <c r="H265" i="65139"/>
  <c r="H195" i="65139"/>
  <c r="D5" i="65139"/>
  <c r="H237" i="65139"/>
  <c r="E20" i="304"/>
  <c r="H111" i="65139"/>
  <c r="F105" i="65139"/>
  <c r="F82" i="65139" s="1"/>
  <c r="F62" i="65139" s="1"/>
  <c r="G105" i="65139"/>
  <c r="H105" i="65139" s="1"/>
  <c r="F5" i="65139"/>
  <c r="G220" i="65139"/>
  <c r="G5" i="65139"/>
  <c r="H48" i="65139"/>
  <c r="H28" i="65139"/>
  <c r="H222" i="65139"/>
  <c r="H133" i="65139"/>
  <c r="H6" i="65139"/>
  <c r="H197" i="65139"/>
  <c r="G188" i="65139"/>
  <c r="H199" i="65139"/>
  <c r="H196" i="65139" l="1"/>
  <c r="D186" i="65139"/>
  <c r="D262" i="65139" s="1"/>
  <c r="D269" i="65139" s="1"/>
  <c r="H220" i="65139"/>
  <c r="G20" i="304"/>
  <c r="G82" i="65139"/>
  <c r="F186" i="65139"/>
  <c r="F262" i="65139" s="1"/>
  <c r="F269" i="65139" s="1"/>
  <c r="H87" i="65139"/>
  <c r="H47" i="65139"/>
  <c r="H188" i="65139"/>
  <c r="G19" i="304"/>
  <c r="H82" i="65139" l="1"/>
  <c r="E94" i="300"/>
  <c r="J24" i="300" l="1"/>
  <c r="I24" i="300"/>
  <c r="H24" i="300"/>
  <c r="G24" i="300"/>
  <c r="F24" i="300"/>
  <c r="M12" i="65069"/>
  <c r="L12" i="65069"/>
  <c r="N15" i="65069"/>
  <c r="O15" i="65069" s="1"/>
  <c r="K24" i="300" l="1"/>
  <c r="L24" i="300" s="1"/>
  <c r="H105" i="300" l="1"/>
  <c r="E54" i="65137" l="1"/>
  <c r="E47" i="65137"/>
  <c r="E40" i="65137"/>
  <c r="E17" i="65137"/>
  <c r="K26" i="16" l="1"/>
  <c r="K15" i="16"/>
  <c r="K12" i="16"/>
  <c r="K8" i="16"/>
  <c r="K32" i="16" l="1"/>
  <c r="L8" i="65084" l="1"/>
  <c r="G37" i="65142" l="1"/>
  <c r="G24" i="65142"/>
  <c r="G23" i="65142"/>
  <c r="G17" i="65142"/>
  <c r="F42" i="65142"/>
  <c r="D42" i="65142"/>
  <c r="C42" i="65142"/>
  <c r="G8" i="65142" l="1"/>
  <c r="G10" i="65142"/>
  <c r="G16" i="65142"/>
  <c r="G11" i="65142"/>
  <c r="G29" i="65142"/>
  <c r="G31" i="65142"/>
  <c r="G33" i="65142"/>
  <c r="G35" i="65142"/>
  <c r="G38" i="65142"/>
  <c r="G40" i="65142"/>
  <c r="G7" i="65142"/>
  <c r="G9" i="65142"/>
  <c r="G12" i="65142"/>
  <c r="G14" i="65142"/>
  <c r="G13" i="65142"/>
  <c r="G15" i="65142"/>
  <c r="G18" i="65142"/>
  <c r="G20" i="65142"/>
  <c r="G21" i="65142"/>
  <c r="G25" i="65142"/>
  <c r="G27" i="65142"/>
  <c r="E42" i="65142"/>
  <c r="G6" i="65142"/>
  <c r="G19" i="65142"/>
  <c r="G22" i="65142"/>
  <c r="G26" i="65142"/>
  <c r="G28" i="65142"/>
  <c r="G30" i="65142"/>
  <c r="G32" i="65142"/>
  <c r="G34" i="65142"/>
  <c r="G36" i="65142"/>
  <c r="G39" i="65142"/>
  <c r="G41" i="65142"/>
  <c r="G5" i="65142"/>
  <c r="G42" i="65142" l="1"/>
  <c r="K52" i="65065" l="1"/>
  <c r="N24" i="65065" l="1"/>
  <c r="N28" i="65065"/>
  <c r="N30" i="65065"/>
  <c r="N36" i="65065"/>
  <c r="N28" i="65078" l="1"/>
  <c r="H113" i="300" l="1"/>
  <c r="H114" i="300"/>
  <c r="H104" i="300"/>
  <c r="H106" i="300"/>
  <c r="H107" i="300"/>
  <c r="H108" i="300"/>
  <c r="H109" i="300"/>
  <c r="H110" i="300"/>
  <c r="H100" i="300"/>
  <c r="H101" i="300"/>
  <c r="H93" i="300"/>
  <c r="H94" i="300"/>
  <c r="H95" i="300"/>
  <c r="H96" i="300"/>
  <c r="H97" i="300"/>
  <c r="H54" i="300"/>
  <c r="H55" i="300"/>
  <c r="H56" i="300"/>
  <c r="H57" i="300"/>
  <c r="H58" i="300"/>
  <c r="H59" i="300"/>
  <c r="H60" i="300"/>
  <c r="H61" i="300"/>
  <c r="H64" i="300"/>
  <c r="H65" i="300"/>
  <c r="H66" i="300"/>
  <c r="H67" i="300"/>
  <c r="H68" i="300"/>
  <c r="H69" i="300"/>
  <c r="H73" i="300"/>
  <c r="H74" i="300"/>
  <c r="H75" i="300"/>
  <c r="H76" i="300"/>
  <c r="H77" i="300"/>
  <c r="H78" i="300"/>
  <c r="H79" i="300"/>
  <c r="H80" i="300"/>
  <c r="H81" i="300"/>
  <c r="H82" i="300"/>
  <c r="H84" i="300"/>
  <c r="H85" i="300"/>
  <c r="H86" i="300"/>
  <c r="H87" i="300"/>
  <c r="H89" i="300"/>
  <c r="H90" i="300"/>
  <c r="H27" i="300"/>
  <c r="H28" i="300"/>
  <c r="H29" i="300"/>
  <c r="H31" i="300"/>
  <c r="H32" i="300"/>
  <c r="H33" i="300"/>
  <c r="H34" i="300"/>
  <c r="H36" i="300"/>
  <c r="H37" i="300"/>
  <c r="H39" i="300"/>
  <c r="H40" i="300"/>
  <c r="H42" i="300"/>
  <c r="H43" i="300"/>
  <c r="H44" i="300"/>
  <c r="H45" i="300"/>
  <c r="H46" i="300"/>
  <c r="H47" i="300"/>
  <c r="H48" i="300"/>
  <c r="H49" i="300"/>
  <c r="H22" i="300"/>
  <c r="H23" i="300"/>
  <c r="H16" i="300"/>
  <c r="H18" i="300"/>
  <c r="H10" i="300"/>
  <c r="H11" i="300"/>
  <c r="H12" i="300"/>
  <c r="H13" i="300"/>
  <c r="H53" i="300" l="1"/>
  <c r="H41" i="300"/>
  <c r="H21" i="300"/>
  <c r="H83" i="300"/>
  <c r="H88" i="300"/>
  <c r="H30" i="300"/>
  <c r="H72" i="300"/>
  <c r="H17" i="300"/>
  <c r="H38" i="300"/>
  <c r="H35" i="300"/>
  <c r="K31" i="65123" l="1"/>
  <c r="H112" i="300"/>
  <c r="H103" i="300"/>
  <c r="H99" i="300"/>
  <c r="H92" i="300"/>
  <c r="H15" i="300"/>
  <c r="H9" i="300"/>
  <c r="F36" i="304"/>
  <c r="J68" i="300"/>
  <c r="G68" i="300"/>
  <c r="F68" i="300"/>
  <c r="I68" i="300"/>
  <c r="K37" i="65077" l="1"/>
  <c r="K38" i="65077" s="1"/>
  <c r="K39" i="65077" s="1"/>
  <c r="K31" i="65105"/>
  <c r="K31" i="65098"/>
  <c r="K31" i="65097"/>
  <c r="K31" i="65096"/>
  <c r="K36" i="65095"/>
  <c r="K31" i="65094"/>
  <c r="H70" i="300"/>
  <c r="K34" i="65093"/>
  <c r="K31" i="65089"/>
  <c r="K31" i="65088"/>
  <c r="K31" i="65087"/>
  <c r="K31" i="65086"/>
  <c r="K31" i="65085"/>
  <c r="K31" i="65084"/>
  <c r="K31" i="65083"/>
  <c r="K31" i="65122"/>
  <c r="K31" i="65081"/>
  <c r="K31" i="65082"/>
  <c r="K46" i="65080"/>
  <c r="K41" i="65079"/>
  <c r="K42" i="65079" s="1"/>
  <c r="K37" i="65078"/>
  <c r="F38" i="304"/>
  <c r="F29" i="304"/>
  <c r="K48" i="65076"/>
  <c r="K49" i="65076" s="1"/>
  <c r="K40" i="65075"/>
  <c r="K31" i="65141"/>
  <c r="K32" i="65141" s="1"/>
  <c r="K31" i="65115"/>
  <c r="K31" i="65100"/>
  <c r="K31" i="65074"/>
  <c r="K32" i="65071"/>
  <c r="K33" i="65070"/>
  <c r="K33" i="65069"/>
  <c r="K31" i="65068"/>
  <c r="K34" i="65140"/>
  <c r="K31" i="65099"/>
  <c r="K31" i="65067"/>
  <c r="F28" i="304"/>
  <c r="F23" i="304"/>
  <c r="F33" i="304"/>
  <c r="F25" i="304"/>
  <c r="F24" i="304"/>
  <c r="H26" i="300"/>
  <c r="N34" i="65080"/>
  <c r="K32" i="65089" l="1"/>
  <c r="K32" i="65122"/>
  <c r="K32" i="65100"/>
  <c r="K35" i="65140"/>
  <c r="H117" i="300"/>
  <c r="K32" i="65105"/>
  <c r="K33" i="65105" s="1"/>
  <c r="K32" i="65098"/>
  <c r="K33" i="65098" s="1"/>
  <c r="K32" i="65097"/>
  <c r="K33" i="65097" s="1"/>
  <c r="K32" i="65096"/>
  <c r="K33" i="65096" s="1"/>
  <c r="K32" i="65094"/>
  <c r="K33" i="65094" s="1"/>
  <c r="K35" i="65093"/>
  <c r="K36" i="65093" s="1"/>
  <c r="K32" i="65115"/>
  <c r="K32" i="65068"/>
  <c r="K33" i="65068" s="1"/>
  <c r="K68" i="300"/>
  <c r="L68" i="300" s="1"/>
  <c r="O34" i="65080"/>
  <c r="K37" i="65095"/>
  <c r="H63" i="300"/>
  <c r="K43" i="65079"/>
  <c r="K38" i="65078"/>
  <c r="F37" i="304"/>
  <c r="F39" i="304" s="1"/>
  <c r="K50" i="65076"/>
  <c r="K41" i="65075"/>
  <c r="K33" i="65071"/>
  <c r="K34" i="65069"/>
  <c r="F32" i="304"/>
  <c r="F26" i="304"/>
  <c r="K33" i="16"/>
  <c r="K33" i="65141" l="1"/>
  <c r="K33" i="65089"/>
  <c r="K35" i="65069"/>
  <c r="K38" i="65095"/>
  <c r="H52" i="300"/>
  <c r="K39" i="65078"/>
  <c r="K42" i="65075"/>
  <c r="K34" i="16"/>
  <c r="N23" i="65078"/>
  <c r="F17" i="304" l="1"/>
  <c r="F31" i="304"/>
  <c r="F27" i="304"/>
  <c r="H7" i="300"/>
  <c r="F18" i="304" l="1"/>
  <c r="F34" i="304"/>
  <c r="F22" i="304"/>
  <c r="F16" i="304" l="1"/>
  <c r="F43" i="304" s="1"/>
  <c r="F44" i="304"/>
  <c r="F30" i="304" l="1"/>
  <c r="F35" i="304" s="1"/>
  <c r="F40" i="304" s="1"/>
  <c r="F45" i="304"/>
  <c r="J104" i="300"/>
  <c r="I104" i="300"/>
  <c r="G104" i="300"/>
  <c r="F104" i="300"/>
  <c r="M45" i="65065"/>
  <c r="L45" i="65065"/>
  <c r="N46" i="65065"/>
  <c r="O46" i="65065" s="1"/>
  <c r="K104" i="300" l="1"/>
  <c r="L104" i="300" s="1"/>
  <c r="L12" i="65067" l="1"/>
  <c r="L8" i="65067"/>
  <c r="L18" i="65065"/>
  <c r="L12" i="65105"/>
  <c r="L8" i="65105"/>
  <c r="L12" i="65098"/>
  <c r="L8" i="65098"/>
  <c r="L12" i="65097"/>
  <c r="L8" i="65097"/>
  <c r="L12" i="65096"/>
  <c r="L8" i="65096"/>
  <c r="L12" i="65095"/>
  <c r="L8" i="65095"/>
  <c r="L12" i="65094"/>
  <c r="L8" i="65094"/>
  <c r="L12" i="65093"/>
  <c r="L8" i="65093"/>
  <c r="L12" i="65089"/>
  <c r="L8" i="65089"/>
  <c r="L12" i="65088"/>
  <c r="L8" i="65088"/>
  <c r="L12" i="65087"/>
  <c r="L8" i="65087"/>
  <c r="L12" i="65086"/>
  <c r="L8" i="65086"/>
  <c r="L12" i="65085"/>
  <c r="L8" i="65085"/>
  <c r="L12" i="65084"/>
  <c r="L12" i="65083"/>
  <c r="L8" i="65083"/>
  <c r="L12" i="65122"/>
  <c r="L8" i="65122"/>
  <c r="L12" i="65081"/>
  <c r="L8" i="65081"/>
  <c r="L12" i="65082"/>
  <c r="L8" i="65082"/>
  <c r="L12" i="65080"/>
  <c r="L8" i="65080"/>
  <c r="L12" i="65079"/>
  <c r="L8" i="65079"/>
  <c r="L12" i="65078"/>
  <c r="L8" i="65078"/>
  <c r="L12" i="65077"/>
  <c r="L8" i="65077"/>
  <c r="L15" i="65076"/>
  <c r="L11" i="65076"/>
  <c r="L12" i="65075"/>
  <c r="L8" i="65075"/>
  <c r="L12" i="65115"/>
  <c r="L8" i="65115"/>
  <c r="L12" i="65100"/>
  <c r="L8" i="65100"/>
  <c r="L12" i="65074"/>
  <c r="L8" i="65074"/>
  <c r="L12" i="65071"/>
  <c r="L12" i="65070"/>
  <c r="L8" i="65070"/>
  <c r="L8" i="65069"/>
  <c r="L12" i="65068"/>
  <c r="L8" i="65068"/>
  <c r="L12" i="65140"/>
  <c r="L8" i="65140"/>
  <c r="L12" i="65123"/>
  <c r="L8" i="65123"/>
  <c r="L12" i="65099"/>
  <c r="L8" i="65099"/>
  <c r="L13" i="65065"/>
  <c r="L12" i="16"/>
  <c r="L8" i="16"/>
  <c r="I31" i="65094" l="1"/>
  <c r="I32" i="65094" s="1"/>
  <c r="I33" i="65094" s="1"/>
  <c r="J69" i="300" l="1"/>
  <c r="I69" i="300"/>
  <c r="G69" i="300"/>
  <c r="F69" i="300"/>
  <c r="N35" i="65080"/>
  <c r="J74" i="300"/>
  <c r="I74" i="300"/>
  <c r="G74" i="300"/>
  <c r="F74" i="300"/>
  <c r="M34" i="65065"/>
  <c r="L34" i="65065"/>
  <c r="N40" i="65065"/>
  <c r="O40" i="65065" s="1"/>
  <c r="O35" i="65080" l="1"/>
  <c r="K69" i="300"/>
  <c r="L69" i="300" s="1"/>
  <c r="K74" i="300"/>
  <c r="L74" i="300" s="1"/>
  <c r="I42" i="65065"/>
  <c r="L43" i="65076" l="1"/>
  <c r="L39" i="65076"/>
  <c r="L35" i="65076"/>
  <c r="L30" i="65076"/>
  <c r="L18" i="65076"/>
  <c r="M27" i="65078" l="1"/>
  <c r="L27" i="65078"/>
  <c r="M8" i="65075"/>
  <c r="M12" i="65075"/>
  <c r="M15" i="65075"/>
  <c r="L15" i="65075"/>
  <c r="M27" i="65075"/>
  <c r="L27" i="65075"/>
  <c r="M31" i="65075"/>
  <c r="L31" i="65075"/>
  <c r="J94" i="300" l="1"/>
  <c r="I94" i="300"/>
  <c r="G94" i="300"/>
  <c r="F94" i="300"/>
  <c r="N32" i="65075"/>
  <c r="K94" i="300" s="1"/>
  <c r="O32" i="65075" l="1"/>
  <c r="L94" i="300"/>
  <c r="N24" i="65085" l="1"/>
  <c r="L17" i="65069" l="1"/>
  <c r="L21" i="65065"/>
  <c r="L29" i="65093"/>
  <c r="I105" i="300"/>
  <c r="L30" i="65080"/>
  <c r="L27" i="65071"/>
  <c r="L28" i="65070"/>
  <c r="L28" i="65069"/>
  <c r="L29" i="65140"/>
  <c r="N31" i="65095"/>
  <c r="N31" i="65093"/>
  <c r="N32" i="65080"/>
  <c r="N31" i="65078"/>
  <c r="N31" i="65076"/>
  <c r="N31" i="65140"/>
  <c r="J31" i="65074"/>
  <c r="J31" i="65100"/>
  <c r="J31" i="65115"/>
  <c r="J32" i="65115" s="1"/>
  <c r="J31" i="65141"/>
  <c r="J32" i="65141" s="1"/>
  <c r="J31" i="65081"/>
  <c r="J31" i="65122"/>
  <c r="J31" i="65083"/>
  <c r="J31" i="65094"/>
  <c r="J32" i="65094" s="1"/>
  <c r="J33" i="65094" s="1"/>
  <c r="J31" i="65097"/>
  <c r="J32" i="65097" s="1"/>
  <c r="J33" i="65097" s="1"/>
  <c r="J106" i="300"/>
  <c r="I106" i="300"/>
  <c r="G106" i="300"/>
  <c r="J105" i="300"/>
  <c r="G105" i="300"/>
  <c r="F106" i="300"/>
  <c r="F105" i="300"/>
  <c r="J49" i="300"/>
  <c r="I49" i="300"/>
  <c r="G49" i="300"/>
  <c r="J48" i="300"/>
  <c r="I48" i="300"/>
  <c r="G48" i="300"/>
  <c r="J47" i="300"/>
  <c r="I47" i="300"/>
  <c r="G47" i="300"/>
  <c r="J46" i="300"/>
  <c r="I46" i="300"/>
  <c r="G46" i="300"/>
  <c r="J45" i="300"/>
  <c r="I45" i="300"/>
  <c r="G45" i="300"/>
  <c r="J44" i="300"/>
  <c r="I44" i="300"/>
  <c r="G44" i="300"/>
  <c r="J43" i="300"/>
  <c r="I43" i="300"/>
  <c r="G43" i="300"/>
  <c r="J42" i="300"/>
  <c r="I42" i="300"/>
  <c r="G42" i="300"/>
  <c r="J40" i="300"/>
  <c r="I40" i="300"/>
  <c r="G40" i="300"/>
  <c r="J39" i="300"/>
  <c r="I39" i="300"/>
  <c r="G39" i="300"/>
  <c r="J37" i="300"/>
  <c r="I37" i="300"/>
  <c r="G37" i="300"/>
  <c r="J36" i="300"/>
  <c r="I36" i="300"/>
  <c r="G36" i="300"/>
  <c r="J34" i="300"/>
  <c r="I34" i="300"/>
  <c r="G34" i="300"/>
  <c r="J33" i="300"/>
  <c r="I33" i="300"/>
  <c r="G33" i="300"/>
  <c r="J32" i="300"/>
  <c r="I32" i="300"/>
  <c r="G32" i="300"/>
  <c r="J31" i="300"/>
  <c r="I31" i="300"/>
  <c r="G31" i="300"/>
  <c r="J29" i="300"/>
  <c r="I29" i="300"/>
  <c r="G29" i="300"/>
  <c r="J28" i="300"/>
  <c r="I28" i="300"/>
  <c r="G28" i="300"/>
  <c r="J27" i="300"/>
  <c r="I27" i="300"/>
  <c r="G27" i="300"/>
  <c r="F42" i="300"/>
  <c r="F39" i="300"/>
  <c r="F36" i="300"/>
  <c r="F34" i="300"/>
  <c r="F33" i="300"/>
  <c r="F31" i="300"/>
  <c r="F29" i="300"/>
  <c r="F28" i="300"/>
  <c r="F27" i="300"/>
  <c r="J22" i="300"/>
  <c r="I22" i="300"/>
  <c r="G22" i="300"/>
  <c r="F22" i="300"/>
  <c r="J18" i="300"/>
  <c r="I18" i="300"/>
  <c r="G18" i="300"/>
  <c r="F18" i="300"/>
  <c r="J16" i="300"/>
  <c r="I16" i="300"/>
  <c r="G16" i="300"/>
  <c r="F16" i="300"/>
  <c r="I41" i="300" l="1"/>
  <c r="J41" i="300"/>
  <c r="J31" i="65082"/>
  <c r="D70" i="65137" s="1"/>
  <c r="G30" i="300"/>
  <c r="G35" i="300"/>
  <c r="G38" i="300"/>
  <c r="J31" i="65105"/>
  <c r="J32" i="65105" s="1"/>
  <c r="J33" i="65105" s="1"/>
  <c r="J31" i="65096"/>
  <c r="J31" i="65068"/>
  <c r="J31" i="65123"/>
  <c r="J31" i="65099"/>
  <c r="J31" i="65067"/>
  <c r="J31" i="65089"/>
  <c r="J31" i="65088"/>
  <c r="J31" i="65087"/>
  <c r="J31" i="65086"/>
  <c r="J31" i="65085"/>
  <c r="J31" i="65084"/>
  <c r="I35" i="300"/>
  <c r="J31" i="65098"/>
  <c r="J32" i="65098" s="1"/>
  <c r="J33" i="65098" s="1"/>
  <c r="J35" i="300"/>
  <c r="J38" i="300"/>
  <c r="I30" i="300"/>
  <c r="I38" i="300"/>
  <c r="J30" i="300"/>
  <c r="F32" i="300"/>
  <c r="N20" i="65080"/>
  <c r="K32" i="300" s="1"/>
  <c r="L32" i="300" s="1"/>
  <c r="D69" i="65137" l="1"/>
  <c r="J32" i="65096"/>
  <c r="J33" i="65096" s="1"/>
  <c r="J32" i="65122"/>
  <c r="J32" i="65089"/>
  <c r="O20" i="65080"/>
  <c r="J107" i="300" l="1"/>
  <c r="I107" i="300"/>
  <c r="G107" i="300"/>
  <c r="F107" i="300"/>
  <c r="G108" i="300"/>
  <c r="I108" i="300"/>
  <c r="J108" i="300"/>
  <c r="N33" i="65095" l="1"/>
  <c r="F108" i="300"/>
  <c r="D11" i="65137"/>
  <c r="E18" i="65124"/>
  <c r="D18" i="65124"/>
  <c r="C18" i="65124"/>
  <c r="J26" i="300"/>
  <c r="G26" i="300"/>
  <c r="F30" i="300"/>
  <c r="J23" i="300"/>
  <c r="J21" i="300" s="1"/>
  <c r="I23" i="300"/>
  <c r="I21" i="300" s="1"/>
  <c r="G23" i="300"/>
  <c r="G21" i="300" s="1"/>
  <c r="F23" i="300"/>
  <c r="F21" i="300" s="1"/>
  <c r="O29" i="65141"/>
  <c r="N28" i="65141"/>
  <c r="O28" i="65141" s="1"/>
  <c r="O27" i="65141"/>
  <c r="N27" i="65141"/>
  <c r="M26" i="65141"/>
  <c r="L26" i="65141"/>
  <c r="O25" i="65141"/>
  <c r="N24" i="65141"/>
  <c r="O24" i="65141" s="1"/>
  <c r="O23" i="65141"/>
  <c r="N23" i="65141"/>
  <c r="N22" i="65141"/>
  <c r="O22" i="65141" s="1"/>
  <c r="O21" i="65141"/>
  <c r="N21" i="65141"/>
  <c r="O20" i="65141"/>
  <c r="N20" i="65141"/>
  <c r="N19" i="65141"/>
  <c r="O19" i="65141" s="1"/>
  <c r="N18" i="65141"/>
  <c r="O18" i="65141" s="1"/>
  <c r="O17" i="65141"/>
  <c r="N17" i="65141"/>
  <c r="N16" i="65141"/>
  <c r="M15" i="65141"/>
  <c r="L15" i="65141"/>
  <c r="F18" i="65124" s="1"/>
  <c r="O14" i="65141"/>
  <c r="N13" i="65141"/>
  <c r="O13" i="65141" s="1"/>
  <c r="M12" i="65141"/>
  <c r="L12" i="65141"/>
  <c r="O11" i="65141"/>
  <c r="N10" i="65141"/>
  <c r="O10" i="65141" s="1"/>
  <c r="N9" i="65141"/>
  <c r="M8" i="65141"/>
  <c r="L8" i="65141"/>
  <c r="N26" i="65141" l="1"/>
  <c r="D20" i="65125" s="1"/>
  <c r="C20" i="65125" s="1"/>
  <c r="I31" i="65141"/>
  <c r="I32" i="65141" s="1"/>
  <c r="M31" i="65141"/>
  <c r="M32" i="65141" s="1"/>
  <c r="N15" i="65141"/>
  <c r="O15" i="65141" s="1"/>
  <c r="L31" i="65141"/>
  <c r="L32" i="65141" s="1"/>
  <c r="J18" i="65124"/>
  <c r="L18" i="65124" s="1"/>
  <c r="O16" i="65141"/>
  <c r="J17" i="300"/>
  <c r="I26" i="300"/>
  <c r="O33" i="65095"/>
  <c r="K107" i="300"/>
  <c r="L107" i="300" s="1"/>
  <c r="O9" i="65141"/>
  <c r="N8" i="65141"/>
  <c r="N12" i="65141"/>
  <c r="O12" i="65141" s="1"/>
  <c r="O26" i="65141" l="1"/>
  <c r="N31" i="65141"/>
  <c r="O8" i="65141"/>
  <c r="N32" i="65141" l="1"/>
  <c r="O31" i="65141"/>
  <c r="O32" i="65141" l="1"/>
  <c r="M26" i="16"/>
  <c r="L26" i="16"/>
  <c r="N29" i="16"/>
  <c r="O29" i="16" l="1"/>
  <c r="N14" i="65069"/>
  <c r="O14" i="65069" l="1"/>
  <c r="K23" i="300"/>
  <c r="L23" i="300" l="1"/>
  <c r="G31" i="304" l="1"/>
  <c r="M26" i="65105" l="1"/>
  <c r="L26" i="65105"/>
  <c r="M15" i="65105"/>
  <c r="L15" i="65105"/>
  <c r="M12" i="65105"/>
  <c r="M8" i="65105"/>
  <c r="M26" i="65098"/>
  <c r="L26" i="65098"/>
  <c r="M15" i="65098"/>
  <c r="L15" i="65098"/>
  <c r="M12" i="65098"/>
  <c r="M8" i="65098"/>
  <c r="M26" i="65097"/>
  <c r="L26" i="65097"/>
  <c r="M15" i="65097"/>
  <c r="L15" i="65097"/>
  <c r="M12" i="65097"/>
  <c r="M8" i="65097"/>
  <c r="I31" i="65097"/>
  <c r="I32" i="65097" s="1"/>
  <c r="I33" i="65097" s="1"/>
  <c r="M26" i="65096"/>
  <c r="L26" i="65096"/>
  <c r="M15" i="65096"/>
  <c r="L15" i="65096"/>
  <c r="M12" i="65096"/>
  <c r="M8" i="65096"/>
  <c r="M30" i="65095"/>
  <c r="L30" i="65095"/>
  <c r="M26" i="65095"/>
  <c r="L26" i="65095"/>
  <c r="M15" i="65095"/>
  <c r="L15" i="65095"/>
  <c r="M12" i="65095"/>
  <c r="M8" i="65095"/>
  <c r="M26" i="65094"/>
  <c r="L26" i="65094"/>
  <c r="M15" i="65094"/>
  <c r="L15" i="65094"/>
  <c r="M12" i="65094"/>
  <c r="M8" i="65094"/>
  <c r="M29" i="65093"/>
  <c r="M26" i="65093"/>
  <c r="L26" i="65093"/>
  <c r="M15" i="65093"/>
  <c r="L15" i="65093"/>
  <c r="M12" i="65093"/>
  <c r="M8" i="65093"/>
  <c r="M26" i="65089"/>
  <c r="L26" i="65089"/>
  <c r="M15" i="65089"/>
  <c r="L15" i="65089"/>
  <c r="M12" i="65089"/>
  <c r="M8" i="65089"/>
  <c r="M26" i="65088"/>
  <c r="L26" i="65088"/>
  <c r="M15" i="65088"/>
  <c r="L15" i="65088"/>
  <c r="M12" i="65088"/>
  <c r="M8" i="65088"/>
  <c r="M26" i="65087"/>
  <c r="L26" i="65087"/>
  <c r="M15" i="65087"/>
  <c r="L15" i="65087"/>
  <c r="M12" i="65087"/>
  <c r="M8" i="65087"/>
  <c r="M26" i="65086"/>
  <c r="L26" i="65086"/>
  <c r="M15" i="65086"/>
  <c r="L15" i="65086"/>
  <c r="M12" i="65086"/>
  <c r="M8" i="65086"/>
  <c r="M26" i="65085"/>
  <c r="L26" i="65085"/>
  <c r="M15" i="65085"/>
  <c r="L15" i="65085"/>
  <c r="M12" i="65085"/>
  <c r="M8" i="65085"/>
  <c r="M26" i="65084"/>
  <c r="L26" i="65084"/>
  <c r="M15" i="65084"/>
  <c r="L15" i="65084"/>
  <c r="M12" i="65084"/>
  <c r="M8" i="65084"/>
  <c r="M26" i="65083"/>
  <c r="L26" i="65083"/>
  <c r="M15" i="65083"/>
  <c r="L15" i="65083"/>
  <c r="M12" i="65083"/>
  <c r="M8" i="65083"/>
  <c r="I31" i="65083"/>
  <c r="M26" i="65122"/>
  <c r="L26" i="65122"/>
  <c r="M15" i="65122"/>
  <c r="L15" i="65122"/>
  <c r="M12" i="65122"/>
  <c r="M8" i="65122"/>
  <c r="I31" i="65122"/>
  <c r="M26" i="65081"/>
  <c r="L26" i="65081"/>
  <c r="M15" i="65081"/>
  <c r="L15" i="65081"/>
  <c r="M12" i="65081"/>
  <c r="M8" i="65081"/>
  <c r="I31" i="65081"/>
  <c r="M26" i="65082"/>
  <c r="L26" i="65082"/>
  <c r="M15" i="65082"/>
  <c r="L15" i="65082"/>
  <c r="M12" i="65082"/>
  <c r="M8" i="65082"/>
  <c r="I31" i="65082"/>
  <c r="M41" i="65080"/>
  <c r="L41" i="65080"/>
  <c r="M30" i="65080"/>
  <c r="M15" i="65080"/>
  <c r="L15" i="65080"/>
  <c r="M12" i="65080"/>
  <c r="M8" i="65080"/>
  <c r="M36" i="65079"/>
  <c r="L36" i="65079"/>
  <c r="M32" i="65079"/>
  <c r="L32" i="65079"/>
  <c r="M26" i="65079"/>
  <c r="L26" i="65079"/>
  <c r="M15" i="65079"/>
  <c r="L15" i="65079"/>
  <c r="M12" i="65079"/>
  <c r="M8" i="65079"/>
  <c r="M30" i="65078"/>
  <c r="L30" i="65078"/>
  <c r="M15" i="65078"/>
  <c r="L15" i="65078"/>
  <c r="M12" i="65078"/>
  <c r="M8" i="65078"/>
  <c r="M32" i="65077"/>
  <c r="L32" i="65077"/>
  <c r="M26" i="65077"/>
  <c r="L26" i="65077"/>
  <c r="M15" i="65077"/>
  <c r="L15" i="65077"/>
  <c r="M12" i="65077"/>
  <c r="M8" i="65077"/>
  <c r="M43" i="65076"/>
  <c r="M39" i="65076"/>
  <c r="M35" i="65076"/>
  <c r="M30" i="65076"/>
  <c r="M18" i="65076"/>
  <c r="M15" i="65076"/>
  <c r="M11" i="65076"/>
  <c r="M8" i="65076"/>
  <c r="L8" i="65076"/>
  <c r="M35" i="65075"/>
  <c r="L35" i="65075"/>
  <c r="M26" i="65115"/>
  <c r="L26" i="65115"/>
  <c r="M15" i="65115"/>
  <c r="L15" i="65115"/>
  <c r="M12" i="65115"/>
  <c r="M8" i="65115"/>
  <c r="M26" i="65100"/>
  <c r="L26" i="65100"/>
  <c r="M15" i="65100"/>
  <c r="L15" i="65100"/>
  <c r="M12" i="65100"/>
  <c r="M8" i="65100"/>
  <c r="M26" i="65074"/>
  <c r="L26" i="65074"/>
  <c r="M15" i="65074"/>
  <c r="L15" i="65074"/>
  <c r="M12" i="65074"/>
  <c r="M8" i="65074"/>
  <c r="M27" i="65071"/>
  <c r="M15" i="65071"/>
  <c r="L15" i="65071"/>
  <c r="M12" i="65071"/>
  <c r="M8" i="65071"/>
  <c r="M28" i="65070"/>
  <c r="M15" i="65070"/>
  <c r="L15" i="65070"/>
  <c r="L33" i="65070" s="1"/>
  <c r="M12" i="65070"/>
  <c r="M8" i="65070"/>
  <c r="M28" i="65069"/>
  <c r="M17" i="65069"/>
  <c r="M8" i="65069"/>
  <c r="M26" i="65068"/>
  <c r="L26" i="65068"/>
  <c r="M15" i="65068"/>
  <c r="L15" i="65068"/>
  <c r="M12" i="65068"/>
  <c r="M8" i="65068"/>
  <c r="M29" i="65140"/>
  <c r="M26" i="65140"/>
  <c r="L26" i="65140"/>
  <c r="M15" i="65140"/>
  <c r="L15" i="65140"/>
  <c r="M12" i="65140"/>
  <c r="M8" i="65140"/>
  <c r="M26" i="65123"/>
  <c r="L26" i="65123"/>
  <c r="M15" i="65123"/>
  <c r="L15" i="65123"/>
  <c r="M12" i="65123"/>
  <c r="M8" i="65123"/>
  <c r="M26" i="65099"/>
  <c r="L26" i="65099"/>
  <c r="M15" i="65099"/>
  <c r="L15" i="65099"/>
  <c r="M12" i="65099"/>
  <c r="M8" i="65099"/>
  <c r="M26" i="65067"/>
  <c r="L26" i="65067"/>
  <c r="M15" i="65067"/>
  <c r="L15" i="65067"/>
  <c r="M12" i="65067"/>
  <c r="M8" i="65067"/>
  <c r="L42" i="65065"/>
  <c r="L8" i="65065"/>
  <c r="L15" i="16"/>
  <c r="L52" i="65065" l="1"/>
  <c r="M33" i="65070"/>
  <c r="I31" i="65115"/>
  <c r="I32" i="65115" s="1"/>
  <c r="I31" i="65100"/>
  <c r="I31" i="65074"/>
  <c r="I31" i="65123"/>
  <c r="I31" i="65099"/>
  <c r="I31" i="65067"/>
  <c r="I31" i="65068"/>
  <c r="I31" i="65084"/>
  <c r="I31" i="65085"/>
  <c r="I31" i="65086"/>
  <c r="I31" i="65087"/>
  <c r="I31" i="65088"/>
  <c r="I31" i="65089"/>
  <c r="I31" i="65096"/>
  <c r="I32" i="65096" s="1"/>
  <c r="I33" i="65096" s="1"/>
  <c r="I31" i="65105"/>
  <c r="I32" i="65105" s="1"/>
  <c r="I33" i="65105" s="1"/>
  <c r="I32" i="65122"/>
  <c r="I31" i="65098"/>
  <c r="I32" i="65098" s="1"/>
  <c r="I33" i="65098" s="1"/>
  <c r="L31" i="65067"/>
  <c r="L31" i="65099"/>
  <c r="L31" i="65123"/>
  <c r="L31" i="65074"/>
  <c r="L31" i="65100"/>
  <c r="L31" i="65115"/>
  <c r="L31" i="65094"/>
  <c r="L31" i="65068"/>
  <c r="L31" i="65082"/>
  <c r="L31" i="65081"/>
  <c r="L31" i="65122"/>
  <c r="L31" i="65083"/>
  <c r="L31" i="65084"/>
  <c r="L31" i="65085"/>
  <c r="L31" i="65086"/>
  <c r="L31" i="65087"/>
  <c r="L31" i="65088"/>
  <c r="L31" i="65089"/>
  <c r="L31" i="65096"/>
  <c r="L31" i="65097"/>
  <c r="L31" i="65098"/>
  <c r="L31" i="65105"/>
  <c r="J48" i="65076"/>
  <c r="I32" i="65089" l="1"/>
  <c r="J78" i="300"/>
  <c r="I78" i="300"/>
  <c r="G78" i="300"/>
  <c r="F78" i="300"/>
  <c r="N30" i="65077"/>
  <c r="K36" i="65140" l="1"/>
  <c r="O30" i="65077"/>
  <c r="K78" i="300"/>
  <c r="L78" i="300" l="1"/>
  <c r="D63" i="65137"/>
  <c r="D62" i="65137"/>
  <c r="F55" i="300" l="1"/>
  <c r="G55" i="300"/>
  <c r="I55" i="300"/>
  <c r="J55" i="300"/>
  <c r="F47" i="300"/>
  <c r="F48" i="300"/>
  <c r="N31" i="65065"/>
  <c r="F44" i="300"/>
  <c r="J33" i="65070"/>
  <c r="N26" i="65070"/>
  <c r="O26" i="65070" l="1"/>
  <c r="K44" i="300"/>
  <c r="K47" i="300"/>
  <c r="I33" i="65070"/>
  <c r="O31" i="65065"/>
  <c r="J49" i="65076"/>
  <c r="J50" i="65076" s="1"/>
  <c r="I46" i="65080"/>
  <c r="I33" i="65089" s="1"/>
  <c r="J46" i="65080"/>
  <c r="D76" i="65137" s="1"/>
  <c r="L47" i="300" l="1"/>
  <c r="J33" i="65089"/>
  <c r="L44" i="300"/>
  <c r="I32" i="16"/>
  <c r="I48" i="65076"/>
  <c r="I49" i="65076" s="1"/>
  <c r="I50" i="65076" s="1"/>
  <c r="D72" i="65137"/>
  <c r="D65" i="65137"/>
  <c r="D64" i="65137"/>
  <c r="D29" i="65137"/>
  <c r="I95" i="300"/>
  <c r="G95" i="300"/>
  <c r="F95" i="300"/>
  <c r="N33" i="65079"/>
  <c r="O33" i="65079" s="1"/>
  <c r="I33" i="16" l="1"/>
  <c r="I34" i="16" s="1"/>
  <c r="K95" i="300"/>
  <c r="J95" i="300"/>
  <c r="J64" i="300"/>
  <c r="I64" i="300"/>
  <c r="G64" i="300"/>
  <c r="F64" i="300"/>
  <c r="O32" i="65140"/>
  <c r="O31" i="65140"/>
  <c r="O30" i="65140"/>
  <c r="N30" i="65140"/>
  <c r="O28" i="65140"/>
  <c r="N27" i="65140"/>
  <c r="O25" i="65140"/>
  <c r="N24" i="65140"/>
  <c r="O23" i="65140"/>
  <c r="N23" i="65140"/>
  <c r="N22" i="65140"/>
  <c r="O22" i="65140" s="1"/>
  <c r="O21" i="65140"/>
  <c r="N21" i="65140"/>
  <c r="O20" i="65140"/>
  <c r="N20" i="65140"/>
  <c r="N19" i="65140"/>
  <c r="N18" i="65140"/>
  <c r="O17" i="65140"/>
  <c r="N17" i="65140"/>
  <c r="N16" i="65140"/>
  <c r="O14" i="65140"/>
  <c r="N13" i="65140"/>
  <c r="O11" i="65140"/>
  <c r="N10" i="65140"/>
  <c r="N9" i="65140"/>
  <c r="K64" i="300" l="1"/>
  <c r="O19" i="65140"/>
  <c r="L95" i="300"/>
  <c r="O24" i="65140"/>
  <c r="O18" i="65140"/>
  <c r="O16" i="65140"/>
  <c r="O13" i="65140"/>
  <c r="D10" i="65124"/>
  <c r="C10" i="65124"/>
  <c r="N26" i="65140"/>
  <c r="N29" i="65140"/>
  <c r="O27" i="65140"/>
  <c r="N15" i="65140"/>
  <c r="N12" i="65140"/>
  <c r="O10" i="65140"/>
  <c r="J34" i="65140"/>
  <c r="M34" i="65140"/>
  <c r="I34" i="65140"/>
  <c r="L34" i="65140"/>
  <c r="L35" i="65140" s="1"/>
  <c r="N8" i="65140"/>
  <c r="O9" i="65140"/>
  <c r="D12" i="65125" l="1"/>
  <c r="C12" i="65125" s="1"/>
  <c r="O12" i="65140"/>
  <c r="F10" i="65124"/>
  <c r="E10" i="65124"/>
  <c r="O8" i="65140"/>
  <c r="J10" i="65124"/>
  <c r="O29" i="65140"/>
  <c r="G10" i="65124"/>
  <c r="O26" i="65140"/>
  <c r="O15" i="65140"/>
  <c r="N34" i="65140"/>
  <c r="L10" i="65124" l="1"/>
  <c r="O34" i="65140"/>
  <c r="J96" i="300"/>
  <c r="I96" i="300"/>
  <c r="G96" i="300"/>
  <c r="F96" i="300"/>
  <c r="N34" i="65079"/>
  <c r="O31" i="65079"/>
  <c r="F43" i="300"/>
  <c r="N25" i="65070"/>
  <c r="L64" i="300"/>
  <c r="F70" i="300"/>
  <c r="O25" i="65070" l="1"/>
  <c r="K43" i="300"/>
  <c r="O34" i="65079"/>
  <c r="N32" i="65079"/>
  <c r="K96" i="300"/>
  <c r="L96" i="300" l="1"/>
  <c r="L43" i="300"/>
  <c r="H23" i="65124"/>
  <c r="O32" i="65079"/>
  <c r="G110" i="300"/>
  <c r="I110" i="300"/>
  <c r="J110" i="300"/>
  <c r="F110" i="300"/>
  <c r="G109" i="300"/>
  <c r="I109" i="300"/>
  <c r="J109" i="300"/>
  <c r="F109" i="300"/>
  <c r="N34" i="65078"/>
  <c r="O34" i="65078" s="1"/>
  <c r="N33" i="65078"/>
  <c r="O33" i="65078" s="1"/>
  <c r="G97" i="300"/>
  <c r="I97" i="300"/>
  <c r="J97" i="300"/>
  <c r="F97" i="300"/>
  <c r="J40" i="65075"/>
  <c r="I40" i="65075"/>
  <c r="N33" i="65075"/>
  <c r="O30" i="65075"/>
  <c r="N28" i="65075"/>
  <c r="J70" i="300"/>
  <c r="I70" i="300"/>
  <c r="J81" i="300"/>
  <c r="J82" i="300"/>
  <c r="I82" i="300"/>
  <c r="I81" i="300"/>
  <c r="G82" i="300"/>
  <c r="G81" i="300"/>
  <c r="F82" i="300"/>
  <c r="F81" i="300"/>
  <c r="N39" i="65080"/>
  <c r="E63" i="65137" s="1"/>
  <c r="N38" i="65080"/>
  <c r="E62" i="65137" s="1"/>
  <c r="N29" i="65079"/>
  <c r="G70" i="300"/>
  <c r="O39" i="65080" l="1"/>
  <c r="J103" i="300"/>
  <c r="G103" i="300"/>
  <c r="F103" i="300"/>
  <c r="I103" i="300"/>
  <c r="N31" i="65075"/>
  <c r="H19" i="65124" s="1"/>
  <c r="O33" i="65075"/>
  <c r="O28" i="65075"/>
  <c r="K55" i="300"/>
  <c r="L55" i="300" s="1"/>
  <c r="K82" i="300"/>
  <c r="O38" i="65080"/>
  <c r="K97" i="300"/>
  <c r="L97" i="300" s="1"/>
  <c r="K81" i="300"/>
  <c r="K110" i="300"/>
  <c r="K109" i="300"/>
  <c r="J32" i="65071"/>
  <c r="D26" i="65137" s="1"/>
  <c r="L110" i="300" l="1"/>
  <c r="L109" i="300"/>
  <c r="L82" i="300"/>
  <c r="O31" i="65075"/>
  <c r="L81" i="300"/>
  <c r="I41" i="65079"/>
  <c r="J41" i="65079" l="1"/>
  <c r="D32" i="65137" s="1"/>
  <c r="N27" i="65093" l="1"/>
  <c r="O27" i="65093" l="1"/>
  <c r="N9" i="65065"/>
  <c r="G93" i="300" l="1"/>
  <c r="G92" i="300" s="1"/>
  <c r="I93" i="300"/>
  <c r="I92" i="300" s="1"/>
  <c r="J93" i="300"/>
  <c r="J92" i="300" s="1"/>
  <c r="F93" i="300"/>
  <c r="F92" i="300" s="1"/>
  <c r="N28" i="16"/>
  <c r="N27" i="16"/>
  <c r="N24" i="16"/>
  <c r="N23" i="16"/>
  <c r="N22" i="16"/>
  <c r="N21" i="16"/>
  <c r="N20" i="16"/>
  <c r="N19" i="16"/>
  <c r="N18" i="16"/>
  <c r="N17" i="16"/>
  <c r="N16" i="16"/>
  <c r="N49" i="65065"/>
  <c r="K108" i="300" s="1"/>
  <c r="N48" i="65065"/>
  <c r="N47" i="65065"/>
  <c r="N43" i="65065"/>
  <c r="K93" i="300" s="1"/>
  <c r="K92" i="300" s="1"/>
  <c r="N39" i="65065"/>
  <c r="N38" i="65065"/>
  <c r="N37" i="65065"/>
  <c r="N35" i="65065"/>
  <c r="N32" i="65065"/>
  <c r="N29" i="65065"/>
  <c r="N27" i="65065"/>
  <c r="N26" i="65065"/>
  <c r="N25" i="65065"/>
  <c r="N23" i="65065"/>
  <c r="N22" i="65065"/>
  <c r="N16" i="65065"/>
  <c r="K19" i="300" s="1"/>
  <c r="N11" i="65065"/>
  <c r="N10" i="65065"/>
  <c r="N28" i="65067"/>
  <c r="N27" i="65067"/>
  <c r="N24" i="65067"/>
  <c r="N23" i="65067"/>
  <c r="N22" i="65067"/>
  <c r="N21" i="65067"/>
  <c r="N20" i="65067"/>
  <c r="N19" i="65067"/>
  <c r="N18" i="65067"/>
  <c r="N17" i="65067"/>
  <c r="N16" i="65067"/>
  <c r="N28" i="65099"/>
  <c r="N27" i="65099"/>
  <c r="N24" i="65099"/>
  <c r="N23" i="65099"/>
  <c r="N22" i="65099"/>
  <c r="N21" i="65099"/>
  <c r="N20" i="65099"/>
  <c r="N19" i="65099"/>
  <c r="N18" i="65099"/>
  <c r="N17" i="65099"/>
  <c r="N16" i="65099"/>
  <c r="N28" i="65123"/>
  <c r="N27" i="65123"/>
  <c r="N24" i="65123"/>
  <c r="N23" i="65123"/>
  <c r="N22" i="65123"/>
  <c r="N21" i="65123"/>
  <c r="N20" i="65123"/>
  <c r="N19" i="65123"/>
  <c r="N18" i="65123"/>
  <c r="N17" i="65123"/>
  <c r="N16" i="65123"/>
  <c r="N28" i="65068"/>
  <c r="N27" i="65068"/>
  <c r="N24" i="65068"/>
  <c r="N23" i="65068"/>
  <c r="N22" i="65068"/>
  <c r="N21" i="65068"/>
  <c r="N20" i="65068"/>
  <c r="N19" i="65068"/>
  <c r="N18" i="65068"/>
  <c r="N17" i="65068"/>
  <c r="N16" i="65068"/>
  <c r="N30" i="65069"/>
  <c r="N29" i="65069"/>
  <c r="N26" i="65069"/>
  <c r="N25" i="65069"/>
  <c r="N24" i="65069"/>
  <c r="N23" i="65069"/>
  <c r="N22" i="65069"/>
  <c r="N21" i="65069"/>
  <c r="N20" i="65069"/>
  <c r="N19" i="65069"/>
  <c r="N18" i="65069"/>
  <c r="N30" i="65070"/>
  <c r="N29" i="65070"/>
  <c r="N24" i="65070"/>
  <c r="N23" i="65070"/>
  <c r="N22" i="65070"/>
  <c r="N21" i="65070"/>
  <c r="N20" i="65070"/>
  <c r="N19" i="65070"/>
  <c r="N18" i="65070"/>
  <c r="N17" i="65070"/>
  <c r="N16" i="65070"/>
  <c r="N29" i="65071"/>
  <c r="N28" i="65071"/>
  <c r="N24" i="65071"/>
  <c r="N23" i="65071"/>
  <c r="N22" i="65071"/>
  <c r="N21" i="65071"/>
  <c r="N20" i="65071"/>
  <c r="N19" i="65071"/>
  <c r="N18" i="65071"/>
  <c r="N17" i="65071"/>
  <c r="N16" i="65071"/>
  <c r="N28" i="65074"/>
  <c r="N27" i="65074"/>
  <c r="N24" i="65074"/>
  <c r="N23" i="65074"/>
  <c r="N22" i="65074"/>
  <c r="N21" i="65074"/>
  <c r="N20" i="65074"/>
  <c r="N19" i="65074"/>
  <c r="N18" i="65074"/>
  <c r="N17" i="65074"/>
  <c r="N16" i="65074"/>
  <c r="N28" i="65100"/>
  <c r="N27" i="65100"/>
  <c r="N24" i="65100"/>
  <c r="N23" i="65100"/>
  <c r="N22" i="65100"/>
  <c r="N21" i="65100"/>
  <c r="N20" i="65100"/>
  <c r="N19" i="65100"/>
  <c r="N18" i="65100"/>
  <c r="N17" i="65100"/>
  <c r="N16" i="65100"/>
  <c r="N28" i="65115"/>
  <c r="N27" i="65115"/>
  <c r="N24" i="65115"/>
  <c r="N23" i="65115"/>
  <c r="N22" i="65115"/>
  <c r="N21" i="65115"/>
  <c r="N20" i="65115"/>
  <c r="N19" i="65115"/>
  <c r="N18" i="65115"/>
  <c r="N17" i="65115"/>
  <c r="N16" i="65115"/>
  <c r="N37" i="65075"/>
  <c r="N36" i="65075"/>
  <c r="N29" i="65075"/>
  <c r="N25" i="65075"/>
  <c r="K49" i="300" s="1"/>
  <c r="N24" i="65075"/>
  <c r="N23" i="65075"/>
  <c r="N22" i="65075"/>
  <c r="N21" i="65075"/>
  <c r="N20" i="65075"/>
  <c r="N19" i="65075"/>
  <c r="N18" i="65075"/>
  <c r="N17" i="65075"/>
  <c r="N16" i="65075"/>
  <c r="N45" i="65076"/>
  <c r="N44" i="65076"/>
  <c r="N41" i="65076"/>
  <c r="N40" i="65076"/>
  <c r="N37" i="65076"/>
  <c r="N36" i="65076"/>
  <c r="N33" i="65076"/>
  <c r="N32" i="65076"/>
  <c r="N25" i="65076"/>
  <c r="N24" i="65076"/>
  <c r="N23" i="65076"/>
  <c r="N20" i="65076"/>
  <c r="N19" i="65076"/>
  <c r="O20" i="65076"/>
  <c r="O23" i="65076"/>
  <c r="O24" i="65076"/>
  <c r="O25" i="65076"/>
  <c r="N9" i="65076"/>
  <c r="N34" i="65077"/>
  <c r="N33" i="65077"/>
  <c r="N29" i="65077"/>
  <c r="N28" i="65077"/>
  <c r="N27" i="65077"/>
  <c r="N24" i="65077"/>
  <c r="N23" i="65077"/>
  <c r="N22" i="65077"/>
  <c r="N21" i="65077"/>
  <c r="N20" i="65077"/>
  <c r="N19" i="65077"/>
  <c r="N18" i="65077"/>
  <c r="N17" i="65077"/>
  <c r="N16" i="65077"/>
  <c r="N32" i="65078"/>
  <c r="N27" i="65078"/>
  <c r="N25" i="65078"/>
  <c r="N24" i="65078"/>
  <c r="N22" i="65078"/>
  <c r="N21" i="65078"/>
  <c r="N20" i="65078"/>
  <c r="N19" i="65078"/>
  <c r="N18" i="65078"/>
  <c r="N17" i="65078"/>
  <c r="N16" i="65078"/>
  <c r="N38" i="65079"/>
  <c r="N37" i="65079"/>
  <c r="N30" i="65079"/>
  <c r="N28" i="65079"/>
  <c r="N27" i="65079"/>
  <c r="N24" i="65079"/>
  <c r="N23" i="65079"/>
  <c r="N22" i="65079"/>
  <c r="N21" i="65079"/>
  <c r="N20" i="65079"/>
  <c r="N19" i="65079"/>
  <c r="N18" i="65079"/>
  <c r="N17" i="65079"/>
  <c r="N16" i="65079"/>
  <c r="N43" i="65080"/>
  <c r="N42" i="65080"/>
  <c r="N37" i="65080"/>
  <c r="E65" i="65137" s="1"/>
  <c r="N36" i="65080"/>
  <c r="E64" i="65137" s="1"/>
  <c r="N33" i="65080"/>
  <c r="N31" i="65080"/>
  <c r="N28" i="65080"/>
  <c r="K50" i="300" s="1"/>
  <c r="L50" i="300" s="1"/>
  <c r="N27" i="65080"/>
  <c r="N26" i="65080"/>
  <c r="N25" i="65080"/>
  <c r="K40" i="300" s="1"/>
  <c r="N24" i="65080"/>
  <c r="N23" i="65080"/>
  <c r="N22" i="65080"/>
  <c r="N21" i="65080"/>
  <c r="N19" i="65080"/>
  <c r="N18" i="65080"/>
  <c r="N17" i="65080"/>
  <c r="N16" i="65080"/>
  <c r="N28" i="65082"/>
  <c r="N27" i="65082"/>
  <c r="N24" i="65082"/>
  <c r="N23" i="65082"/>
  <c r="N22" i="65082"/>
  <c r="N21" i="65082"/>
  <c r="N20" i="65082"/>
  <c r="N19" i="65082"/>
  <c r="N18" i="65082"/>
  <c r="N17" i="65082"/>
  <c r="N16" i="65082"/>
  <c r="N28" i="65081"/>
  <c r="N27" i="65081"/>
  <c r="N24" i="65081"/>
  <c r="N23" i="65081"/>
  <c r="N22" i="65081"/>
  <c r="N21" i="65081"/>
  <c r="N20" i="65081"/>
  <c r="N19" i="65081"/>
  <c r="N18" i="65081"/>
  <c r="N17" i="65081"/>
  <c r="N16" i="65081"/>
  <c r="N28" i="65122"/>
  <c r="N27" i="65122"/>
  <c r="N24" i="65122"/>
  <c r="N23" i="65122"/>
  <c r="N22" i="65122"/>
  <c r="N21" i="65122"/>
  <c r="N20" i="65122"/>
  <c r="N19" i="65122"/>
  <c r="N18" i="65122"/>
  <c r="N17" i="65122"/>
  <c r="N16" i="65122"/>
  <c r="N28" i="65083"/>
  <c r="N27" i="65083"/>
  <c r="N24" i="65083"/>
  <c r="N23" i="65083"/>
  <c r="N22" i="65083"/>
  <c r="N21" i="65083"/>
  <c r="N20" i="65083"/>
  <c r="N19" i="65083"/>
  <c r="N18" i="65083"/>
  <c r="N17" i="65083"/>
  <c r="N16" i="65083"/>
  <c r="N28" i="65084"/>
  <c r="N27" i="65084"/>
  <c r="N24" i="65084"/>
  <c r="N23" i="65084"/>
  <c r="N22" i="65084"/>
  <c r="N21" i="65084"/>
  <c r="N20" i="65084"/>
  <c r="N19" i="65084"/>
  <c r="N18" i="65084"/>
  <c r="N17" i="65084"/>
  <c r="N16" i="65084"/>
  <c r="N28" i="65085"/>
  <c r="N27" i="65085"/>
  <c r="N23" i="65085"/>
  <c r="N22" i="65085"/>
  <c r="N21" i="65085"/>
  <c r="N20" i="65085"/>
  <c r="N19" i="65085"/>
  <c r="N18" i="65085"/>
  <c r="N17" i="65085"/>
  <c r="N16" i="65085"/>
  <c r="N28" i="65086"/>
  <c r="N27" i="65086"/>
  <c r="N24" i="65086"/>
  <c r="N23" i="65086"/>
  <c r="N22" i="65086"/>
  <c r="N21" i="65086"/>
  <c r="N20" i="65086"/>
  <c r="N19" i="65086"/>
  <c r="N18" i="65086"/>
  <c r="N17" i="65086"/>
  <c r="N16" i="65086"/>
  <c r="N28" i="65087"/>
  <c r="N27" i="65087"/>
  <c r="N24" i="65087"/>
  <c r="N23" i="65087"/>
  <c r="N22" i="65087"/>
  <c r="N21" i="65087"/>
  <c r="N20" i="65087"/>
  <c r="N19" i="65087"/>
  <c r="N18" i="65087"/>
  <c r="N17" i="65087"/>
  <c r="N16" i="65087"/>
  <c r="N28" i="65088"/>
  <c r="N27" i="65088"/>
  <c r="N24" i="65088"/>
  <c r="N23" i="65088"/>
  <c r="N22" i="65088"/>
  <c r="N21" i="65088"/>
  <c r="N20" i="65088"/>
  <c r="N19" i="65088"/>
  <c r="N18" i="65088"/>
  <c r="N17" i="65088"/>
  <c r="N16" i="65088"/>
  <c r="N28" i="65089"/>
  <c r="N27" i="65089"/>
  <c r="N24" i="65089"/>
  <c r="N23" i="65089"/>
  <c r="N22" i="65089"/>
  <c r="N21" i="65089"/>
  <c r="N20" i="65089"/>
  <c r="N19" i="65089"/>
  <c r="N18" i="65089"/>
  <c r="N17" i="65089"/>
  <c r="N16" i="65089"/>
  <c r="N30" i="65093"/>
  <c r="N24" i="65093"/>
  <c r="N23" i="65093"/>
  <c r="N22" i="65093"/>
  <c r="N21" i="65093"/>
  <c r="N20" i="65093"/>
  <c r="N19" i="65093"/>
  <c r="N18" i="65093"/>
  <c r="N17" i="65093"/>
  <c r="N16" i="65093"/>
  <c r="N28" i="65094"/>
  <c r="N27" i="65094"/>
  <c r="N24" i="65094"/>
  <c r="N23" i="65094"/>
  <c r="N22" i="65094"/>
  <c r="N21" i="65094"/>
  <c r="N20" i="65094"/>
  <c r="N19" i="65094"/>
  <c r="N18" i="65094"/>
  <c r="N17" i="65094"/>
  <c r="N16" i="65094"/>
  <c r="N32" i="65095"/>
  <c r="N28" i="65095"/>
  <c r="K71" i="300" s="1"/>
  <c r="N27" i="65095"/>
  <c r="K62" i="300" s="1"/>
  <c r="L62" i="300" s="1"/>
  <c r="N24" i="65095"/>
  <c r="N23" i="65095"/>
  <c r="N22" i="65095"/>
  <c r="N21" i="65095"/>
  <c r="N20" i="65095"/>
  <c r="N19" i="65095"/>
  <c r="N18" i="65095"/>
  <c r="N17" i="65095"/>
  <c r="N16" i="65095"/>
  <c r="N28" i="65096"/>
  <c r="N27" i="65096"/>
  <c r="N24" i="65096"/>
  <c r="N23" i="65096"/>
  <c r="N22" i="65096"/>
  <c r="N21" i="65096"/>
  <c r="N20" i="65096"/>
  <c r="N19" i="65096"/>
  <c r="N18" i="65096"/>
  <c r="N17" i="65096"/>
  <c r="N16" i="65096"/>
  <c r="N28" i="65097"/>
  <c r="N27" i="65097"/>
  <c r="N24" i="65097"/>
  <c r="N23" i="65097"/>
  <c r="N22" i="65097"/>
  <c r="N21" i="65097"/>
  <c r="N20" i="65097"/>
  <c r="N19" i="65097"/>
  <c r="N18" i="65097"/>
  <c r="N17" i="65097"/>
  <c r="N16" i="65097"/>
  <c r="N28" i="65098"/>
  <c r="N27" i="65098"/>
  <c r="N24" i="65098"/>
  <c r="N23" i="65098"/>
  <c r="N22" i="65098"/>
  <c r="N21" i="65098"/>
  <c r="N20" i="65098"/>
  <c r="N19" i="65098"/>
  <c r="N18" i="65098"/>
  <c r="N17" i="65098"/>
  <c r="N16" i="65098"/>
  <c r="N28" i="65105"/>
  <c r="N27" i="65105"/>
  <c r="N24" i="65105"/>
  <c r="N23" i="65105"/>
  <c r="N22" i="65105"/>
  <c r="N21" i="65105"/>
  <c r="N20" i="65105"/>
  <c r="N19" i="65105"/>
  <c r="N18" i="65105"/>
  <c r="N17" i="65105"/>
  <c r="N16" i="65105"/>
  <c r="O12" i="65065"/>
  <c r="O17" i="65065"/>
  <c r="O20" i="65065"/>
  <c r="O33" i="65065"/>
  <c r="O41" i="65065"/>
  <c r="O44" i="65065"/>
  <c r="I114" i="300"/>
  <c r="I113" i="300"/>
  <c r="I101" i="300"/>
  <c r="I100" i="300"/>
  <c r="I90" i="300"/>
  <c r="I89" i="300"/>
  <c r="I87" i="300"/>
  <c r="I86" i="300"/>
  <c r="I85" i="300"/>
  <c r="I84" i="300"/>
  <c r="I80" i="300"/>
  <c r="I79" i="300"/>
  <c r="I77" i="300"/>
  <c r="I76" i="300"/>
  <c r="I75" i="300"/>
  <c r="I73" i="300"/>
  <c r="I67" i="300"/>
  <c r="I66" i="300"/>
  <c r="I65" i="300"/>
  <c r="I61" i="300"/>
  <c r="I60" i="300"/>
  <c r="I59" i="300"/>
  <c r="I58" i="300"/>
  <c r="I57" i="300"/>
  <c r="I56" i="300"/>
  <c r="I54" i="300"/>
  <c r="I13" i="300"/>
  <c r="I12" i="300"/>
  <c r="I11" i="300"/>
  <c r="I10" i="300"/>
  <c r="J114" i="300"/>
  <c r="J113" i="300"/>
  <c r="J101" i="300"/>
  <c r="J100" i="300"/>
  <c r="J90" i="300"/>
  <c r="J89" i="300"/>
  <c r="J87" i="300"/>
  <c r="J86" i="300"/>
  <c r="J85" i="300"/>
  <c r="J84" i="300"/>
  <c r="J80" i="300"/>
  <c r="J79" i="300"/>
  <c r="J77" i="300"/>
  <c r="J76" i="300"/>
  <c r="J75" i="300"/>
  <c r="J73" i="300"/>
  <c r="J67" i="300"/>
  <c r="J66" i="300"/>
  <c r="J65" i="300"/>
  <c r="J61" i="300"/>
  <c r="J60" i="300"/>
  <c r="J59" i="300"/>
  <c r="J58" i="300"/>
  <c r="J57" i="300"/>
  <c r="J56" i="300"/>
  <c r="J54" i="300"/>
  <c r="J13" i="300"/>
  <c r="J12" i="300"/>
  <c r="J11" i="300"/>
  <c r="J10" i="300"/>
  <c r="N19" i="65065"/>
  <c r="N15" i="65065"/>
  <c r="N14" i="65065"/>
  <c r="N13" i="65067"/>
  <c r="N10" i="65067"/>
  <c r="D7" i="65124" s="1"/>
  <c r="N13" i="65099"/>
  <c r="N10" i="65099"/>
  <c r="D8" i="65124" s="1"/>
  <c r="N13" i="65123"/>
  <c r="N10" i="65123"/>
  <c r="D9" i="65124" s="1"/>
  <c r="N13" i="65068"/>
  <c r="N10" i="65068"/>
  <c r="D11" i="65124" s="1"/>
  <c r="N13" i="65069"/>
  <c r="N12" i="65069" s="1"/>
  <c r="N10" i="65069"/>
  <c r="D12" i="65124" s="1"/>
  <c r="N13" i="65070"/>
  <c r="N10" i="65070"/>
  <c r="D13" i="65124" s="1"/>
  <c r="N13" i="65071"/>
  <c r="N10" i="65071"/>
  <c r="D14" i="65124" s="1"/>
  <c r="N13" i="65074"/>
  <c r="N10" i="65074"/>
  <c r="D15" i="65124" s="1"/>
  <c r="N13" i="65100"/>
  <c r="N10" i="65100"/>
  <c r="D16" i="65124" s="1"/>
  <c r="N13" i="65115"/>
  <c r="N10" i="65115"/>
  <c r="D17" i="65124" s="1"/>
  <c r="N13" i="65075"/>
  <c r="N10" i="65075"/>
  <c r="D19" i="65124" s="1"/>
  <c r="N28" i="65076"/>
  <c r="N27" i="65076"/>
  <c r="N26" i="65076"/>
  <c r="N21" i="65076"/>
  <c r="N16" i="65076"/>
  <c r="N13" i="65076"/>
  <c r="D20" i="65124" s="1"/>
  <c r="N13" i="65077"/>
  <c r="N10" i="65077"/>
  <c r="D21" i="65124" s="1"/>
  <c r="N13" i="65078"/>
  <c r="N10" i="65078"/>
  <c r="D22" i="65124" s="1"/>
  <c r="N13" i="65079"/>
  <c r="N10" i="65079"/>
  <c r="D23" i="65124" s="1"/>
  <c r="N13" i="65080"/>
  <c r="N10" i="65080"/>
  <c r="D24" i="65124" s="1"/>
  <c r="N13" i="65082"/>
  <c r="N10" i="65082"/>
  <c r="D25" i="65124" s="1"/>
  <c r="N13" i="65081"/>
  <c r="N10" i="65081"/>
  <c r="D26" i="65124" s="1"/>
  <c r="N13" i="65122"/>
  <c r="N10" i="65122"/>
  <c r="D27" i="65124" s="1"/>
  <c r="N13" i="65083"/>
  <c r="N10" i="65083"/>
  <c r="D28" i="65124" s="1"/>
  <c r="N13" i="65084"/>
  <c r="N10" i="65084"/>
  <c r="D29" i="65124" s="1"/>
  <c r="N13" i="65085"/>
  <c r="N10" i="65085"/>
  <c r="D30" i="65124" s="1"/>
  <c r="N13" i="65086"/>
  <c r="N10" i="65086"/>
  <c r="D31" i="65124" s="1"/>
  <c r="N13" i="65087"/>
  <c r="N10" i="65087"/>
  <c r="D32" i="65124" s="1"/>
  <c r="N13" i="65088"/>
  <c r="N10" i="65088"/>
  <c r="D33" i="65124" s="1"/>
  <c r="N13" i="65089"/>
  <c r="N10" i="65089"/>
  <c r="D34" i="65124" s="1"/>
  <c r="N13" i="65093"/>
  <c r="N10" i="65093"/>
  <c r="D35" i="65124" s="1"/>
  <c r="N13" i="65094"/>
  <c r="N10" i="65094"/>
  <c r="D36" i="65124" s="1"/>
  <c r="N13" i="65095"/>
  <c r="N10" i="65095"/>
  <c r="D37" i="65124" s="1"/>
  <c r="N13" i="65096"/>
  <c r="N10" i="65096"/>
  <c r="D38" i="65124" s="1"/>
  <c r="N13" i="65097"/>
  <c r="N10" i="65097"/>
  <c r="D39" i="65124" s="1"/>
  <c r="N13" i="65098"/>
  <c r="N10" i="65098"/>
  <c r="D40" i="65124" s="1"/>
  <c r="N13" i="65105"/>
  <c r="N10" i="65105"/>
  <c r="D41" i="65124" s="1"/>
  <c r="N13" i="16"/>
  <c r="N10" i="16"/>
  <c r="D5" i="65124" s="1"/>
  <c r="M42" i="65065"/>
  <c r="M21" i="65065"/>
  <c r="M18" i="65065"/>
  <c r="M8" i="65065"/>
  <c r="M15" i="16"/>
  <c r="M12" i="16"/>
  <c r="M8" i="16"/>
  <c r="E72" i="65137" l="1"/>
  <c r="I53" i="300"/>
  <c r="J53" i="300"/>
  <c r="N45" i="65065"/>
  <c r="E61" i="65137"/>
  <c r="N27" i="65075"/>
  <c r="N12" i="65075"/>
  <c r="N34" i="65065"/>
  <c r="N15" i="65075"/>
  <c r="K46" i="300"/>
  <c r="K37" i="300"/>
  <c r="O28" i="65077"/>
  <c r="O27" i="65076"/>
  <c r="O26" i="65076"/>
  <c r="O21" i="65076"/>
  <c r="O19" i="65076"/>
  <c r="K48" i="300"/>
  <c r="K18" i="300"/>
  <c r="O28" i="65076"/>
  <c r="K45" i="300"/>
  <c r="N26" i="16"/>
  <c r="K106" i="300"/>
  <c r="K105" i="300"/>
  <c r="K29" i="300"/>
  <c r="K33" i="300"/>
  <c r="K36" i="300"/>
  <c r="K42" i="300"/>
  <c r="K28" i="300"/>
  <c r="K34" i="300"/>
  <c r="K39" i="300"/>
  <c r="K22" i="300"/>
  <c r="K21" i="300" s="1"/>
  <c r="K27" i="300"/>
  <c r="M46" i="65080"/>
  <c r="M40" i="65075"/>
  <c r="M41" i="65075" s="1"/>
  <c r="M42" i="65075" s="1"/>
  <c r="O29" i="65077"/>
  <c r="N26" i="65077"/>
  <c r="L34" i="65093"/>
  <c r="L35" i="65093" s="1"/>
  <c r="L36" i="65093" s="1"/>
  <c r="L40" i="65075"/>
  <c r="L41" i="65075" s="1"/>
  <c r="L42" i="65075" s="1"/>
  <c r="M41" i="65079"/>
  <c r="M42" i="65079" s="1"/>
  <c r="M43" i="65079" s="1"/>
  <c r="N26" i="65074"/>
  <c r="L41" i="65079"/>
  <c r="L42" i="65079" s="1"/>
  <c r="L43" i="65079" s="1"/>
  <c r="I72" i="300"/>
  <c r="I83" i="300"/>
  <c r="J63" i="300"/>
  <c r="J83" i="300"/>
  <c r="J88" i="300"/>
  <c r="I88" i="300"/>
  <c r="N30" i="65080"/>
  <c r="J72" i="300"/>
  <c r="I63" i="300"/>
  <c r="N30" i="65078"/>
  <c r="N26" i="65093"/>
  <c r="L32" i="65094"/>
  <c r="L33" i="65094" s="1"/>
  <c r="J112" i="300"/>
  <c r="L32" i="65068"/>
  <c r="L33" i="65068" s="1"/>
  <c r="L32" i="65071"/>
  <c r="L33" i="65071" s="1"/>
  <c r="L33" i="65069"/>
  <c r="L34" i="65069" s="1"/>
  <c r="L35" i="65069" s="1"/>
  <c r="L37" i="65077"/>
  <c r="L38" i="65077" s="1"/>
  <c r="L39" i="65077" s="1"/>
  <c r="N9" i="65089"/>
  <c r="N9" i="65088"/>
  <c r="N9" i="65087"/>
  <c r="N9" i="65086"/>
  <c r="N9" i="65085"/>
  <c r="N9" i="65084"/>
  <c r="N9" i="65083"/>
  <c r="N9" i="65122"/>
  <c r="N12" i="65076"/>
  <c r="N22" i="65076"/>
  <c r="N9" i="65105"/>
  <c r="N9" i="65098"/>
  <c r="N9" i="65097"/>
  <c r="N9" i="65096"/>
  <c r="N9" i="65095"/>
  <c r="N9" i="65094"/>
  <c r="N9" i="65093"/>
  <c r="N9" i="65081"/>
  <c r="N9" i="65082"/>
  <c r="N9" i="65079"/>
  <c r="N9" i="65078"/>
  <c r="N9" i="65077"/>
  <c r="N9" i="65075"/>
  <c r="N9" i="65115"/>
  <c r="N9" i="65100"/>
  <c r="N9" i="65074"/>
  <c r="N9" i="65071"/>
  <c r="N9" i="65070"/>
  <c r="N9" i="65069"/>
  <c r="N9" i="65068"/>
  <c r="N9" i="65123"/>
  <c r="N9" i="65099"/>
  <c r="N9" i="65067"/>
  <c r="N9" i="16"/>
  <c r="I112" i="300"/>
  <c r="I17" i="300"/>
  <c r="N9" i="65080"/>
  <c r="M31" i="65105"/>
  <c r="M32" i="65105" s="1"/>
  <c r="M33" i="65105" s="1"/>
  <c r="M31" i="65098"/>
  <c r="M32" i="65098" s="1"/>
  <c r="M33" i="65098" s="1"/>
  <c r="M31" i="65097"/>
  <c r="M32" i="65097" s="1"/>
  <c r="M33" i="65097" s="1"/>
  <c r="M31" i="65096"/>
  <c r="M32" i="65096" s="1"/>
  <c r="M33" i="65096" s="1"/>
  <c r="M36" i="65095"/>
  <c r="M37" i="65095" s="1"/>
  <c r="M38" i="65095" s="1"/>
  <c r="M31" i="65094"/>
  <c r="M32" i="65094" s="1"/>
  <c r="M33" i="65094" s="1"/>
  <c r="M34" i="65093"/>
  <c r="M35" i="65093" s="1"/>
  <c r="M36" i="65093" s="1"/>
  <c r="M31" i="65089"/>
  <c r="M31" i="65088"/>
  <c r="M31" i="65087"/>
  <c r="M31" i="65086"/>
  <c r="M31" i="65085"/>
  <c r="M31" i="65084"/>
  <c r="M31" i="65083"/>
  <c r="M31" i="65122"/>
  <c r="M31" i="65081"/>
  <c r="M31" i="65082"/>
  <c r="M37" i="65078"/>
  <c r="M38" i="65078" s="1"/>
  <c r="M39" i="65078" s="1"/>
  <c r="M37" i="65077"/>
  <c r="M31" i="65115"/>
  <c r="M32" i="65115" s="1"/>
  <c r="M31" i="65100"/>
  <c r="M31" i="65074"/>
  <c r="M32" i="65071"/>
  <c r="M33" i="65071" s="1"/>
  <c r="M33" i="65069"/>
  <c r="M34" i="65069" s="1"/>
  <c r="M35" i="65069" s="1"/>
  <c r="M31" i="65068"/>
  <c r="M32" i="65068" s="1"/>
  <c r="M33" i="65068" s="1"/>
  <c r="M31" i="65123"/>
  <c r="M31" i="65099"/>
  <c r="M31" i="65067"/>
  <c r="M13" i="65065"/>
  <c r="M52" i="65065" s="1"/>
  <c r="J9" i="300"/>
  <c r="I9" i="300"/>
  <c r="M32" i="16"/>
  <c r="M33" i="16" s="1"/>
  <c r="M34" i="16" s="1"/>
  <c r="I99" i="300"/>
  <c r="J15" i="300"/>
  <c r="J99" i="300"/>
  <c r="L48" i="65076"/>
  <c r="M48" i="65076"/>
  <c r="M49" i="65076" s="1"/>
  <c r="M50" i="65076" s="1"/>
  <c r="K41" i="300" l="1"/>
  <c r="M35" i="65140"/>
  <c r="M36" i="65140" s="1"/>
  <c r="J117" i="300"/>
  <c r="N8" i="65075"/>
  <c r="K103" i="300"/>
  <c r="K17" i="300"/>
  <c r="K70" i="300"/>
  <c r="O22" i="65076"/>
  <c r="K38" i="300"/>
  <c r="K35" i="300"/>
  <c r="K31" i="300"/>
  <c r="K16" i="300"/>
  <c r="M38" i="65077"/>
  <c r="M39" i="65077" s="1"/>
  <c r="M32" i="65122"/>
  <c r="M32" i="65100"/>
  <c r="M33" i="65141" s="1"/>
  <c r="L46" i="65080"/>
  <c r="L32" i="65105"/>
  <c r="L33" i="65105" s="1"/>
  <c r="L36" i="65095"/>
  <c r="L37" i="65095" s="1"/>
  <c r="L38" i="65095" s="1"/>
  <c r="L32" i="65115"/>
  <c r="L32" i="65097"/>
  <c r="L33" i="65097" s="1"/>
  <c r="L37" i="65078"/>
  <c r="L38" i="65078" s="1"/>
  <c r="L39" i="65078" s="1"/>
  <c r="L49" i="65076"/>
  <c r="L50" i="65076" s="1"/>
  <c r="M32" i="65089"/>
  <c r="L32" i="16"/>
  <c r="L32" i="65098"/>
  <c r="L33" i="65098" s="1"/>
  <c r="I15" i="300"/>
  <c r="L32" i="65096"/>
  <c r="L33" i="65096" s="1"/>
  <c r="J52" i="300"/>
  <c r="I52" i="300"/>
  <c r="M33" i="65089" l="1"/>
  <c r="L33" i="16"/>
  <c r="L34" i="16" s="1"/>
  <c r="I117" i="300"/>
  <c r="K30" i="300"/>
  <c r="L16" i="300"/>
  <c r="L36" i="65140"/>
  <c r="L32" i="65100"/>
  <c r="L33" i="65141" s="1"/>
  <c r="L32" i="65089"/>
  <c r="I7" i="300"/>
  <c r="J7" i="300"/>
  <c r="L32" i="65122"/>
  <c r="G65" i="300"/>
  <c r="K65" i="300"/>
  <c r="G66" i="300"/>
  <c r="K66" i="300"/>
  <c r="F66" i="300"/>
  <c r="F65" i="300"/>
  <c r="J35" i="65140"/>
  <c r="I33" i="65069"/>
  <c r="I34" i="65069" s="1"/>
  <c r="I35" i="65069" s="1"/>
  <c r="I32" i="65071"/>
  <c r="I33" i="65071" s="1"/>
  <c r="I41" i="65075"/>
  <c r="I42" i="65075" s="1"/>
  <c r="I37" i="65078"/>
  <c r="I38" i="65078" s="1"/>
  <c r="I39" i="65078" s="1"/>
  <c r="E17" i="304"/>
  <c r="D36" i="304"/>
  <c r="L14" i="300"/>
  <c r="L20" i="300"/>
  <c r="L25" i="300"/>
  <c r="L51" i="300"/>
  <c r="L91" i="300"/>
  <c r="L98" i="300"/>
  <c r="L102" i="300"/>
  <c r="L111" i="300"/>
  <c r="L115" i="300"/>
  <c r="O31" i="65095"/>
  <c r="O32" i="65095"/>
  <c r="O34" i="65095"/>
  <c r="O32" i="65093"/>
  <c r="O33" i="65080"/>
  <c r="O36" i="65080"/>
  <c r="O37" i="65080"/>
  <c r="O40" i="65080"/>
  <c r="O42" i="65080"/>
  <c r="O43" i="65080"/>
  <c r="O44" i="65080"/>
  <c r="O27" i="65079"/>
  <c r="O28" i="65079"/>
  <c r="O29" i="65079"/>
  <c r="O30" i="65079"/>
  <c r="O35" i="65079"/>
  <c r="O37" i="65079"/>
  <c r="O38" i="65079"/>
  <c r="O39" i="65079"/>
  <c r="O31" i="65078"/>
  <c r="O32" i="65078"/>
  <c r="O35" i="65078"/>
  <c r="O31" i="65077"/>
  <c r="O33" i="65077"/>
  <c r="O34" i="65077"/>
  <c r="O35" i="65077"/>
  <c r="O33" i="65076"/>
  <c r="O34" i="65076"/>
  <c r="O36" i="65076"/>
  <c r="O37" i="65076"/>
  <c r="O38" i="65076"/>
  <c r="O40" i="65076"/>
  <c r="O41" i="65076"/>
  <c r="O42" i="65076"/>
  <c r="O44" i="65076"/>
  <c r="O45" i="65076"/>
  <c r="O46" i="65076"/>
  <c r="O35" i="65065"/>
  <c r="O36" i="65065"/>
  <c r="O37" i="65065"/>
  <c r="O38" i="65065"/>
  <c r="O39" i="65065"/>
  <c r="O43" i="65065"/>
  <c r="O47" i="65065"/>
  <c r="O48" i="65065"/>
  <c r="O49" i="65065"/>
  <c r="O50" i="65065"/>
  <c r="O30" i="65093"/>
  <c r="O29" i="65122"/>
  <c r="O29" i="65078"/>
  <c r="O30" i="65071"/>
  <c r="O32" i="65067"/>
  <c r="O33" i="65067"/>
  <c r="O32" i="65099"/>
  <c r="O33" i="65099"/>
  <c r="O34" i="65070"/>
  <c r="O35" i="65070"/>
  <c r="O33" i="65074"/>
  <c r="O37" i="65075"/>
  <c r="O38" i="65075"/>
  <c r="O32" i="65076"/>
  <c r="O32" i="65082"/>
  <c r="O33" i="65082"/>
  <c r="O32" i="65081"/>
  <c r="O33" i="65081"/>
  <c r="O32" i="65083"/>
  <c r="O33" i="65083"/>
  <c r="O32" i="65084"/>
  <c r="O33" i="65084"/>
  <c r="O32" i="65085"/>
  <c r="O33" i="65085"/>
  <c r="O32" i="65086"/>
  <c r="O33" i="65086"/>
  <c r="O32" i="65087"/>
  <c r="O33" i="65087"/>
  <c r="O32" i="65088"/>
  <c r="O33" i="65088"/>
  <c r="O10" i="65065"/>
  <c r="O11" i="65065"/>
  <c r="O22" i="65065"/>
  <c r="O23" i="65065"/>
  <c r="O24" i="65065"/>
  <c r="O25" i="65065"/>
  <c r="O26" i="65065"/>
  <c r="O27" i="65065"/>
  <c r="O28" i="65065"/>
  <c r="O29" i="65065"/>
  <c r="O30" i="65065"/>
  <c r="O10" i="65067"/>
  <c r="O11" i="65067"/>
  <c r="O13" i="65067"/>
  <c r="O14" i="65067"/>
  <c r="O16" i="65067"/>
  <c r="O17" i="65067"/>
  <c r="O18" i="65067"/>
  <c r="O19" i="65067"/>
  <c r="O20" i="65067"/>
  <c r="O21" i="65067"/>
  <c r="O22" i="65067"/>
  <c r="O23" i="65067"/>
  <c r="O24" i="65067"/>
  <c r="O25" i="65067"/>
  <c r="O27" i="65067"/>
  <c r="O28" i="65067"/>
  <c r="O29" i="65067"/>
  <c r="O10" i="65099"/>
  <c r="O11" i="65099"/>
  <c r="O13" i="65099"/>
  <c r="O14" i="65099"/>
  <c r="O16" i="65099"/>
  <c r="O17" i="65099"/>
  <c r="O18" i="65099"/>
  <c r="O19" i="65099"/>
  <c r="O20" i="65099"/>
  <c r="O21" i="65099"/>
  <c r="O22" i="65099"/>
  <c r="O23" i="65099"/>
  <c r="O24" i="65099"/>
  <c r="O25" i="65099"/>
  <c r="O27" i="65099"/>
  <c r="O28" i="65099"/>
  <c r="O29" i="65099"/>
  <c r="O10" i="65123"/>
  <c r="O11" i="65123"/>
  <c r="O13" i="65123"/>
  <c r="O14" i="65123"/>
  <c r="O16" i="65123"/>
  <c r="O17" i="65123"/>
  <c r="O18" i="65123"/>
  <c r="O19" i="65123"/>
  <c r="O20" i="65123"/>
  <c r="O21" i="65123"/>
  <c r="O22" i="65123"/>
  <c r="O23" i="65123"/>
  <c r="O24" i="65123"/>
  <c r="O25" i="65123"/>
  <c r="O27" i="65123"/>
  <c r="O28" i="65123"/>
  <c r="O29" i="65123"/>
  <c r="O10" i="65068"/>
  <c r="O11" i="65068"/>
  <c r="O13" i="65068"/>
  <c r="O14" i="65068"/>
  <c r="O16" i="65068"/>
  <c r="O17" i="65068"/>
  <c r="O18" i="65068"/>
  <c r="O19" i="65068"/>
  <c r="O20" i="65068"/>
  <c r="O21" i="65068"/>
  <c r="O22" i="65068"/>
  <c r="O23" i="65068"/>
  <c r="O24" i="65068"/>
  <c r="O25" i="65068"/>
  <c r="O27" i="65068"/>
  <c r="O28" i="65068"/>
  <c r="O29" i="65068"/>
  <c r="O10" i="65069"/>
  <c r="O11" i="65069"/>
  <c r="O13" i="65069"/>
  <c r="O16" i="65069"/>
  <c r="O18" i="65069"/>
  <c r="O19" i="65069"/>
  <c r="O20" i="65069"/>
  <c r="O21" i="65069"/>
  <c r="O22" i="65069"/>
  <c r="O23" i="65069"/>
  <c r="O24" i="65069"/>
  <c r="O25" i="65069"/>
  <c r="O26" i="65069"/>
  <c r="O27" i="65069"/>
  <c r="O29" i="65069"/>
  <c r="O30" i="65069"/>
  <c r="O31" i="65069"/>
  <c r="O10" i="65070"/>
  <c r="O11" i="65070"/>
  <c r="O13" i="65070"/>
  <c r="O14" i="65070"/>
  <c r="O16" i="65070"/>
  <c r="O17" i="65070"/>
  <c r="O18" i="65070"/>
  <c r="O19" i="65070"/>
  <c r="O20" i="65070"/>
  <c r="O21" i="65070"/>
  <c r="O22" i="65070"/>
  <c r="O23" i="65070"/>
  <c r="O24" i="65070"/>
  <c r="O27" i="65070"/>
  <c r="O29" i="65070"/>
  <c r="O30" i="65070"/>
  <c r="O31" i="65070"/>
  <c r="O10" i="65071"/>
  <c r="O11" i="65071"/>
  <c r="O13" i="65071"/>
  <c r="O14" i="65071"/>
  <c r="O16" i="65071"/>
  <c r="O17" i="65071"/>
  <c r="O18" i="65071"/>
  <c r="O19" i="65071"/>
  <c r="O20" i="65071"/>
  <c r="O21" i="65071"/>
  <c r="O22" i="65071"/>
  <c r="O23" i="65071"/>
  <c r="O24" i="65071"/>
  <c r="O25" i="65071"/>
  <c r="O26" i="65071"/>
  <c r="O28" i="65071"/>
  <c r="O29" i="65071"/>
  <c r="O10" i="65074"/>
  <c r="O11" i="65074"/>
  <c r="O13" i="65074"/>
  <c r="O14" i="65074"/>
  <c r="O16" i="65074"/>
  <c r="O17" i="65074"/>
  <c r="O18" i="65074"/>
  <c r="O19" i="65074"/>
  <c r="O20" i="65074"/>
  <c r="O21" i="65074"/>
  <c r="O22" i="65074"/>
  <c r="O23" i="65074"/>
  <c r="O24" i="65074"/>
  <c r="O25" i="65074"/>
  <c r="O27" i="65074"/>
  <c r="O28" i="65074"/>
  <c r="O29" i="65074"/>
  <c r="O10" i="65100"/>
  <c r="O11" i="65100"/>
  <c r="O13" i="65100"/>
  <c r="O14" i="65100"/>
  <c r="O16" i="65100"/>
  <c r="O17" i="65100"/>
  <c r="O18" i="65100"/>
  <c r="O19" i="65100"/>
  <c r="O20" i="65100"/>
  <c r="O21" i="65100"/>
  <c r="O22" i="65100"/>
  <c r="O23" i="65100"/>
  <c r="O24" i="65100"/>
  <c r="O25" i="65100"/>
  <c r="O27" i="65100"/>
  <c r="O28" i="65100"/>
  <c r="O29" i="65100"/>
  <c r="O10" i="65115"/>
  <c r="O11" i="65115"/>
  <c r="O13" i="65115"/>
  <c r="O14" i="65115"/>
  <c r="O16" i="65115"/>
  <c r="O17" i="65115"/>
  <c r="O18" i="65115"/>
  <c r="O19" i="65115"/>
  <c r="O20" i="65115"/>
  <c r="O21" i="65115"/>
  <c r="O22" i="65115"/>
  <c r="O23" i="65115"/>
  <c r="O24" i="65115"/>
  <c r="O25" i="65115"/>
  <c r="O27" i="65115"/>
  <c r="O28" i="65115"/>
  <c r="O29" i="65115"/>
  <c r="O10" i="65075"/>
  <c r="O11" i="65075"/>
  <c r="O13" i="65075"/>
  <c r="O14" i="65075"/>
  <c r="O16" i="65075"/>
  <c r="O17" i="65075"/>
  <c r="O18" i="65075"/>
  <c r="O19" i="65075"/>
  <c r="O20" i="65075"/>
  <c r="O21" i="65075"/>
  <c r="O22" i="65075"/>
  <c r="O23" i="65075"/>
  <c r="O24" i="65075"/>
  <c r="O25" i="65075"/>
  <c r="O26" i="65075"/>
  <c r="O29" i="65075"/>
  <c r="O34" i="65075"/>
  <c r="O36" i="65075"/>
  <c r="O10" i="65076"/>
  <c r="O14" i="65076"/>
  <c r="O17" i="65076"/>
  <c r="O29" i="65076"/>
  <c r="O31" i="65076"/>
  <c r="O10" i="65077"/>
  <c r="O11" i="65077"/>
  <c r="O13" i="65077"/>
  <c r="O14" i="65077"/>
  <c r="O16" i="65077"/>
  <c r="O17" i="65077"/>
  <c r="O18" i="65077"/>
  <c r="O19" i="65077"/>
  <c r="O20" i="65077"/>
  <c r="O21" i="65077"/>
  <c r="O22" i="65077"/>
  <c r="O23" i="65077"/>
  <c r="O24" i="65077"/>
  <c r="O25" i="65077"/>
  <c r="O27" i="65077"/>
  <c r="O10" i="65078"/>
  <c r="O11" i="65078"/>
  <c r="O13" i="65078"/>
  <c r="O14" i="65078"/>
  <c r="O16" i="65078"/>
  <c r="O17" i="65078"/>
  <c r="O18" i="65078"/>
  <c r="O19" i="65078"/>
  <c r="O20" i="65078"/>
  <c r="O21" i="65078"/>
  <c r="O22" i="65078"/>
  <c r="O23" i="65078"/>
  <c r="O24" i="65078"/>
  <c r="O25" i="65078"/>
  <c r="O26" i="65078"/>
  <c r="O28" i="65078"/>
  <c r="O10" i="65079"/>
  <c r="O11" i="65079"/>
  <c r="O13" i="65079"/>
  <c r="O14" i="65079"/>
  <c r="O16" i="65079"/>
  <c r="O17" i="65079"/>
  <c r="O18" i="65079"/>
  <c r="O19" i="65079"/>
  <c r="O20" i="65079"/>
  <c r="O21" i="65079"/>
  <c r="O22" i="65079"/>
  <c r="O23" i="65079"/>
  <c r="O24" i="65079"/>
  <c r="O25" i="65079"/>
  <c r="O10" i="65080"/>
  <c r="O11" i="65080"/>
  <c r="O13" i="65080"/>
  <c r="O14" i="65080"/>
  <c r="O16" i="65080"/>
  <c r="O17" i="65080"/>
  <c r="O18" i="65080"/>
  <c r="O19" i="65080"/>
  <c r="O21" i="65080"/>
  <c r="O22" i="65080"/>
  <c r="O23" i="65080"/>
  <c r="O24" i="65080"/>
  <c r="O25" i="65080"/>
  <c r="O26" i="65080"/>
  <c r="O27" i="65080"/>
  <c r="O28" i="65080"/>
  <c r="O29" i="65080"/>
  <c r="O31" i="65080"/>
  <c r="O32" i="65080"/>
  <c r="O10" i="65082"/>
  <c r="O11" i="65082"/>
  <c r="O13" i="65082"/>
  <c r="O14" i="65082"/>
  <c r="O16" i="65082"/>
  <c r="O17" i="65082"/>
  <c r="O18" i="65082"/>
  <c r="O19" i="65082"/>
  <c r="O20" i="65082"/>
  <c r="O21" i="65082"/>
  <c r="O22" i="65082"/>
  <c r="O23" i="65082"/>
  <c r="O24" i="65082"/>
  <c r="O25" i="65082"/>
  <c r="O27" i="65082"/>
  <c r="O28" i="65082"/>
  <c r="O29" i="65082"/>
  <c r="O10" i="65081"/>
  <c r="O11" i="65081"/>
  <c r="O13" i="65081"/>
  <c r="O14" i="65081"/>
  <c r="O16" i="65081"/>
  <c r="O17" i="65081"/>
  <c r="O18" i="65081"/>
  <c r="O19" i="65081"/>
  <c r="O20" i="65081"/>
  <c r="O21" i="65081"/>
  <c r="O22" i="65081"/>
  <c r="O23" i="65081"/>
  <c r="O24" i="65081"/>
  <c r="O25" i="65081"/>
  <c r="O27" i="65081"/>
  <c r="O28" i="65081"/>
  <c r="O29" i="65081"/>
  <c r="O10" i="65122"/>
  <c r="O11" i="65122"/>
  <c r="O13" i="65122"/>
  <c r="O14" i="65122"/>
  <c r="O16" i="65122"/>
  <c r="O17" i="65122"/>
  <c r="O18" i="65122"/>
  <c r="O19" i="65122"/>
  <c r="O20" i="65122"/>
  <c r="O21" i="65122"/>
  <c r="O22" i="65122"/>
  <c r="O23" i="65122"/>
  <c r="O24" i="65122"/>
  <c r="O25" i="65122"/>
  <c r="O27" i="65122"/>
  <c r="O28" i="65122"/>
  <c r="O10" i="65083"/>
  <c r="O11" i="65083"/>
  <c r="O13" i="65083"/>
  <c r="O14" i="65083"/>
  <c r="O16" i="65083"/>
  <c r="O17" i="65083"/>
  <c r="O18" i="65083"/>
  <c r="O19" i="65083"/>
  <c r="O20" i="65083"/>
  <c r="O21" i="65083"/>
  <c r="O22" i="65083"/>
  <c r="O23" i="65083"/>
  <c r="O24" i="65083"/>
  <c r="O25" i="65083"/>
  <c r="O27" i="65083"/>
  <c r="O28" i="65083"/>
  <c r="O29" i="65083"/>
  <c r="O10" i="65084"/>
  <c r="O11" i="65084"/>
  <c r="O13" i="65084"/>
  <c r="O14" i="65084"/>
  <c r="O16" i="65084"/>
  <c r="O17" i="65084"/>
  <c r="O18" i="65084"/>
  <c r="O19" i="65084"/>
  <c r="O20" i="65084"/>
  <c r="O21" i="65084"/>
  <c r="O22" i="65084"/>
  <c r="O23" i="65084"/>
  <c r="O24" i="65084"/>
  <c r="O25" i="65084"/>
  <c r="O27" i="65084"/>
  <c r="O28" i="65084"/>
  <c r="O29" i="65084"/>
  <c r="O10" i="65085"/>
  <c r="O11" i="65085"/>
  <c r="O13" i="65085"/>
  <c r="O14" i="65085"/>
  <c r="O16" i="65085"/>
  <c r="O17" i="65085"/>
  <c r="O18" i="65085"/>
  <c r="O19" i="65085"/>
  <c r="O20" i="65085"/>
  <c r="O21" i="65085"/>
  <c r="O22" i="65085"/>
  <c r="O23" i="65085"/>
  <c r="O24" i="65085"/>
  <c r="O25" i="65085"/>
  <c r="O27" i="65085"/>
  <c r="O28" i="65085"/>
  <c r="O29" i="65085"/>
  <c r="O10" i="65086"/>
  <c r="O11" i="65086"/>
  <c r="O13" i="65086"/>
  <c r="O14" i="65086"/>
  <c r="O16" i="65086"/>
  <c r="O17" i="65086"/>
  <c r="O18" i="65086"/>
  <c r="O19" i="65086"/>
  <c r="O20" i="65086"/>
  <c r="O21" i="65086"/>
  <c r="O22" i="65086"/>
  <c r="O23" i="65086"/>
  <c r="O24" i="65086"/>
  <c r="O25" i="65086"/>
  <c r="O27" i="65086"/>
  <c r="O28" i="65086"/>
  <c r="O29" i="65086"/>
  <c r="O10" i="65087"/>
  <c r="O11" i="65087"/>
  <c r="O13" i="65087"/>
  <c r="O14" i="65087"/>
  <c r="O16" i="65087"/>
  <c r="O17" i="65087"/>
  <c r="O18" i="65087"/>
  <c r="O19" i="65087"/>
  <c r="O20" i="65087"/>
  <c r="O21" i="65087"/>
  <c r="O22" i="65087"/>
  <c r="O23" i="65087"/>
  <c r="O24" i="65087"/>
  <c r="O25" i="65087"/>
  <c r="O27" i="65087"/>
  <c r="O28" i="65087"/>
  <c r="O29" i="65087"/>
  <c r="O10" i="65088"/>
  <c r="O11" i="65088"/>
  <c r="O13" i="65088"/>
  <c r="O14" i="65088"/>
  <c r="O16" i="65088"/>
  <c r="O17" i="65088"/>
  <c r="O18" i="65088"/>
  <c r="O19" i="65088"/>
  <c r="O20" i="65088"/>
  <c r="O21" i="65088"/>
  <c r="O22" i="65088"/>
  <c r="O23" i="65088"/>
  <c r="O24" i="65088"/>
  <c r="O25" i="65088"/>
  <c r="O27" i="65088"/>
  <c r="O28" i="65088"/>
  <c r="O29" i="65088"/>
  <c r="O10" i="65089"/>
  <c r="O11" i="65089"/>
  <c r="O13" i="65089"/>
  <c r="O14" i="65089"/>
  <c r="O16" i="65089"/>
  <c r="O17" i="65089"/>
  <c r="O18" i="65089"/>
  <c r="O19" i="65089"/>
  <c r="O20" i="65089"/>
  <c r="O21" i="65089"/>
  <c r="O22" i="65089"/>
  <c r="O23" i="65089"/>
  <c r="O24" i="65089"/>
  <c r="O25" i="65089"/>
  <c r="O27" i="65089"/>
  <c r="O28" i="65089"/>
  <c r="O29" i="65089"/>
  <c r="O10" i="65093"/>
  <c r="O11" i="65093"/>
  <c r="O13" i="65093"/>
  <c r="O14" i="65093"/>
  <c r="O16" i="65093"/>
  <c r="O17" i="65093"/>
  <c r="O18" i="65093"/>
  <c r="O19" i="65093"/>
  <c r="O20" i="65093"/>
  <c r="O21" i="65093"/>
  <c r="O22" i="65093"/>
  <c r="O23" i="65093"/>
  <c r="O24" i="65093"/>
  <c r="O25" i="65093"/>
  <c r="O28" i="65093"/>
  <c r="O31" i="65093"/>
  <c r="O10" i="65094"/>
  <c r="O11" i="65094"/>
  <c r="O13" i="65094"/>
  <c r="O14" i="65094"/>
  <c r="O16" i="65094"/>
  <c r="O17" i="65094"/>
  <c r="O18" i="65094"/>
  <c r="O19" i="65094"/>
  <c r="O20" i="65094"/>
  <c r="O21" i="65094"/>
  <c r="O22" i="65094"/>
  <c r="O23" i="65094"/>
  <c r="O24" i="65094"/>
  <c r="O25" i="65094"/>
  <c r="O27" i="65094"/>
  <c r="O28" i="65094"/>
  <c r="O29" i="65094"/>
  <c r="O10" i="65095"/>
  <c r="O11" i="65095"/>
  <c r="O13" i="65095"/>
  <c r="O14" i="65095"/>
  <c r="O16" i="65095"/>
  <c r="O17" i="65095"/>
  <c r="O18" i="65095"/>
  <c r="O19" i="65095"/>
  <c r="O20" i="65095"/>
  <c r="O21" i="65095"/>
  <c r="O22" i="65095"/>
  <c r="O23" i="65095"/>
  <c r="O24" i="65095"/>
  <c r="O25" i="65095"/>
  <c r="O27" i="65095"/>
  <c r="O28" i="65095"/>
  <c r="O29" i="65095"/>
  <c r="O10" i="65096"/>
  <c r="O11" i="65096"/>
  <c r="O13" i="65096"/>
  <c r="O14" i="65096"/>
  <c r="O16" i="65096"/>
  <c r="O17" i="65096"/>
  <c r="O18" i="65096"/>
  <c r="O19" i="65096"/>
  <c r="O20" i="65096"/>
  <c r="O21" i="65096"/>
  <c r="O22" i="65096"/>
  <c r="O23" i="65096"/>
  <c r="O24" i="65096"/>
  <c r="O25" i="65096"/>
  <c r="O27" i="65096"/>
  <c r="O28" i="65096"/>
  <c r="O29" i="65096"/>
  <c r="O10" i="65097"/>
  <c r="O11" i="65097"/>
  <c r="O13" i="65097"/>
  <c r="O14" i="65097"/>
  <c r="O16" i="65097"/>
  <c r="O17" i="65097"/>
  <c r="O18" i="65097"/>
  <c r="O19" i="65097"/>
  <c r="O20" i="65097"/>
  <c r="O21" i="65097"/>
  <c r="O22" i="65097"/>
  <c r="O23" i="65097"/>
  <c r="O24" i="65097"/>
  <c r="O25" i="65097"/>
  <c r="O27" i="65097"/>
  <c r="O28" i="65097"/>
  <c r="O29" i="65097"/>
  <c r="O10" i="65098"/>
  <c r="O11" i="65098"/>
  <c r="O13" i="65098"/>
  <c r="O14" i="65098"/>
  <c r="O16" i="65098"/>
  <c r="O17" i="65098"/>
  <c r="O18" i="65098"/>
  <c r="O19" i="65098"/>
  <c r="O20" i="65098"/>
  <c r="O21" i="65098"/>
  <c r="O22" i="65098"/>
  <c r="O23" i="65098"/>
  <c r="O24" i="65098"/>
  <c r="O25" i="65098"/>
  <c r="O27" i="65098"/>
  <c r="O28" i="65098"/>
  <c r="O29" i="65098"/>
  <c r="O10" i="65105"/>
  <c r="O11" i="65105"/>
  <c r="O13" i="65105"/>
  <c r="O14" i="65105"/>
  <c r="O16" i="65105"/>
  <c r="O17" i="65105"/>
  <c r="O18" i="65105"/>
  <c r="O19" i="65105"/>
  <c r="O20" i="65105"/>
  <c r="O21" i="65105"/>
  <c r="O22" i="65105"/>
  <c r="O23" i="65105"/>
  <c r="O24" i="65105"/>
  <c r="O25" i="65105"/>
  <c r="O27" i="65105"/>
  <c r="O28" i="65105"/>
  <c r="O29" i="65105"/>
  <c r="O10" i="16"/>
  <c r="O11" i="16"/>
  <c r="O13" i="16"/>
  <c r="O14" i="16"/>
  <c r="O16" i="16"/>
  <c r="O17" i="16"/>
  <c r="O18" i="16"/>
  <c r="O19" i="16"/>
  <c r="O20" i="16"/>
  <c r="O21" i="16"/>
  <c r="O22" i="16"/>
  <c r="O23" i="16"/>
  <c r="O24" i="16"/>
  <c r="O25" i="16"/>
  <c r="O27" i="16"/>
  <c r="O28" i="16"/>
  <c r="O30" i="16"/>
  <c r="O9" i="65065"/>
  <c r="O9" i="65067"/>
  <c r="O9" i="65099"/>
  <c r="O9" i="65123"/>
  <c r="O9" i="65068"/>
  <c r="O9" i="65069"/>
  <c r="O9" i="65070"/>
  <c r="O9" i="65071"/>
  <c r="O9" i="65074"/>
  <c r="O9" i="65100"/>
  <c r="O9" i="65115"/>
  <c r="O9" i="65075"/>
  <c r="O9" i="65076"/>
  <c r="O9" i="65077"/>
  <c r="O9" i="65078"/>
  <c r="O9" i="65079"/>
  <c r="O9" i="65080"/>
  <c r="O9" i="65082"/>
  <c r="O9" i="65081"/>
  <c r="O9" i="65122"/>
  <c r="O9" i="65083"/>
  <c r="O9" i="65084"/>
  <c r="O9" i="65085"/>
  <c r="O9" i="65086"/>
  <c r="O9" i="65087"/>
  <c r="O9" i="65088"/>
  <c r="O9" i="65089"/>
  <c r="O9" i="65093"/>
  <c r="O9" i="65094"/>
  <c r="O9" i="65095"/>
  <c r="O9" i="65096"/>
  <c r="O9" i="65097"/>
  <c r="O9" i="65098"/>
  <c r="O9" i="16"/>
  <c r="N26" i="65095"/>
  <c r="O26" i="65095" s="1"/>
  <c r="O16" i="65076"/>
  <c r="K26" i="300" l="1"/>
  <c r="L30" i="300"/>
  <c r="L65" i="300"/>
  <c r="L66" i="300"/>
  <c r="L33" i="65089"/>
  <c r="I34" i="65093"/>
  <c r="I35" i="65093" s="1"/>
  <c r="I36" i="65093" s="1"/>
  <c r="I32" i="65068"/>
  <c r="I33" i="65068" s="1"/>
  <c r="I37" i="65077"/>
  <c r="I42" i="65079"/>
  <c r="I43" i="65079" s="1"/>
  <c r="G17" i="300"/>
  <c r="J42" i="65079"/>
  <c r="J43" i="65079" s="1"/>
  <c r="O12" i="65076"/>
  <c r="J32" i="16"/>
  <c r="J36" i="65095"/>
  <c r="J37" i="65078"/>
  <c r="J34" i="65093"/>
  <c r="J37" i="65077"/>
  <c r="J33" i="65071"/>
  <c r="J33" i="65069"/>
  <c r="D24" i="65137" s="1"/>
  <c r="I36" i="65095"/>
  <c r="D31" i="304"/>
  <c r="O14" i="65065"/>
  <c r="O19" i="65065"/>
  <c r="G117" i="300" l="1"/>
  <c r="I37" i="65095"/>
  <c r="I38" i="65095" s="1"/>
  <c r="D25" i="65137"/>
  <c r="I32" i="65100"/>
  <c r="I33" i="65141" s="1"/>
  <c r="J33" i="16"/>
  <c r="J34" i="16" s="1"/>
  <c r="D9" i="65137"/>
  <c r="J38" i="65078"/>
  <c r="J39" i="65078" s="1"/>
  <c r="D39" i="65137"/>
  <c r="J32" i="65100"/>
  <c r="J33" i="65141" s="1"/>
  <c r="D86" i="65137"/>
  <c r="I38" i="65077"/>
  <c r="I39" i="65077" s="1"/>
  <c r="I52" i="65065"/>
  <c r="D18" i="304"/>
  <c r="D17" i="304"/>
  <c r="J35" i="65093"/>
  <c r="J41" i="65075"/>
  <c r="J42" i="65075" s="1"/>
  <c r="J38" i="65077"/>
  <c r="J39" i="65077" s="1"/>
  <c r="J32" i="65068"/>
  <c r="J37" i="65095"/>
  <c r="J38" i="65095" s="1"/>
  <c r="J34" i="65069"/>
  <c r="O16" i="65065"/>
  <c r="O32" i="65065"/>
  <c r="F117" i="300" l="1"/>
  <c r="I35" i="65140"/>
  <c r="I36" i="65140" s="1"/>
  <c r="J36" i="65140"/>
  <c r="D16" i="304"/>
  <c r="J33" i="65068"/>
  <c r="J35" i="65069"/>
  <c r="J36" i="65093"/>
  <c r="O15" i="65065"/>
  <c r="D43" i="304" l="1"/>
  <c r="O13" i="65076"/>
  <c r="O26" i="65093"/>
  <c r="N26" i="65079"/>
  <c r="N26" i="65067"/>
  <c r="O26" i="65067" l="1"/>
  <c r="O26" i="65079"/>
  <c r="G113" i="300"/>
  <c r="K113" i="300"/>
  <c r="G114" i="300"/>
  <c r="K114" i="300"/>
  <c r="F114" i="300"/>
  <c r="F113" i="300"/>
  <c r="N43" i="65076"/>
  <c r="O43" i="65076" l="1"/>
  <c r="L114" i="300"/>
  <c r="L113" i="300"/>
  <c r="G100" i="300"/>
  <c r="G101" i="300"/>
  <c r="G89" i="300"/>
  <c r="G90" i="300"/>
  <c r="G84" i="300"/>
  <c r="G85" i="300"/>
  <c r="G86" i="300"/>
  <c r="G87" i="300"/>
  <c r="G73" i="300"/>
  <c r="G75" i="300"/>
  <c r="G76" i="300"/>
  <c r="G77" i="300"/>
  <c r="G79" i="300"/>
  <c r="G80" i="300"/>
  <c r="G67" i="300"/>
  <c r="G54" i="300"/>
  <c r="G56" i="300"/>
  <c r="G57" i="300"/>
  <c r="G58" i="300"/>
  <c r="G59" i="300"/>
  <c r="G60" i="300"/>
  <c r="G61" i="300"/>
  <c r="L40" i="300"/>
  <c r="G10" i="300"/>
  <c r="G11" i="300"/>
  <c r="G12" i="300"/>
  <c r="G13" i="300"/>
  <c r="G53" i="300" l="1"/>
  <c r="G63" i="300"/>
  <c r="G72" i="300"/>
  <c r="G83" i="300"/>
  <c r="G88" i="300"/>
  <c r="G112" i="300"/>
  <c r="E38" i="304" s="1"/>
  <c r="G99" i="300"/>
  <c r="G9" i="300"/>
  <c r="N12" i="65094"/>
  <c r="N30" i="65095"/>
  <c r="N29" i="65093"/>
  <c r="O30" i="65080"/>
  <c r="O27" i="65078"/>
  <c r="O26" i="65077"/>
  <c r="N32" i="65077"/>
  <c r="N30" i="65076"/>
  <c r="O27" i="65075"/>
  <c r="N35" i="65075"/>
  <c r="O29" i="65093" l="1"/>
  <c r="O32" i="65077"/>
  <c r="O30" i="65095"/>
  <c r="O12" i="65094"/>
  <c r="O30" i="65076"/>
  <c r="O35" i="65075"/>
  <c r="E26" i="304"/>
  <c r="E23" i="304"/>
  <c r="E25" i="304"/>
  <c r="E28" i="304"/>
  <c r="E29" i="304"/>
  <c r="E33" i="304"/>
  <c r="G15" i="300"/>
  <c r="G52" i="300"/>
  <c r="E27" i="304" l="1"/>
  <c r="E24" i="304"/>
  <c r="G7" i="300"/>
  <c r="E36" i="304" l="1"/>
  <c r="N15" i="65122"/>
  <c r="F27" i="65124" s="1"/>
  <c r="L49" i="300"/>
  <c r="F49" i="300"/>
  <c r="N8" i="65080"/>
  <c r="N26" i="65085"/>
  <c r="N12" i="65098"/>
  <c r="N8" i="65098"/>
  <c r="N12" i="65096"/>
  <c r="N8" i="65096"/>
  <c r="N12" i="65071"/>
  <c r="N8" i="65071"/>
  <c r="N12" i="65105"/>
  <c r="N12" i="65097"/>
  <c r="N8" i="65097"/>
  <c r="N12" i="65095"/>
  <c r="E37" i="65124" s="1"/>
  <c r="N8" i="65095"/>
  <c r="N8" i="65094"/>
  <c r="N12" i="65093"/>
  <c r="N8" i="65093"/>
  <c r="N12" i="65089"/>
  <c r="N8" i="65089"/>
  <c r="N12" i="65088"/>
  <c r="N8" i="65088"/>
  <c r="N12" i="65087"/>
  <c r="N8" i="65087"/>
  <c r="N12" i="65086"/>
  <c r="N8" i="65086"/>
  <c r="N12" i="65085"/>
  <c r="N8" i="65085"/>
  <c r="N12" i="65084"/>
  <c r="N8" i="65084"/>
  <c r="N12" i="65083"/>
  <c r="N8" i="65083"/>
  <c r="N12" i="65122"/>
  <c r="E27" i="65124" s="1"/>
  <c r="N8" i="65122"/>
  <c r="N12" i="65081"/>
  <c r="N8" i="65081"/>
  <c r="N12" i="65082"/>
  <c r="N8" i="65082"/>
  <c r="N12" i="65080"/>
  <c r="N12" i="65079"/>
  <c r="N8" i="65079"/>
  <c r="N12" i="65078"/>
  <c r="N8" i="65078"/>
  <c r="N12" i="65077"/>
  <c r="N8" i="65077"/>
  <c r="N15" i="65076"/>
  <c r="N11" i="65076"/>
  <c r="N12" i="65115"/>
  <c r="N8" i="65115"/>
  <c r="N12" i="65100"/>
  <c r="N8" i="65100"/>
  <c r="N12" i="65074"/>
  <c r="N8" i="65074"/>
  <c r="N12" i="65070"/>
  <c r="N8" i="65070"/>
  <c r="N8" i="65069"/>
  <c r="N12" i="65068"/>
  <c r="N8" i="65068"/>
  <c r="N12" i="65123"/>
  <c r="N8" i="65123"/>
  <c r="N12" i="65099"/>
  <c r="N8" i="65099"/>
  <c r="N12" i="65067"/>
  <c r="N8" i="65067"/>
  <c r="N18" i="65065"/>
  <c r="N13" i="65065"/>
  <c r="N12" i="16"/>
  <c r="N8" i="16"/>
  <c r="F72" i="65137"/>
  <c r="F65" i="65137"/>
  <c r="F64" i="65137"/>
  <c r="L18" i="300"/>
  <c r="L19" i="300"/>
  <c r="E44" i="65125"/>
  <c r="F44" i="65125"/>
  <c r="F10" i="65137"/>
  <c r="F12" i="65137"/>
  <c r="F13" i="65137"/>
  <c r="F14" i="65137"/>
  <c r="F15" i="65137"/>
  <c r="F16" i="65137"/>
  <c r="D17" i="65137"/>
  <c r="F17" i="65137" s="1"/>
  <c r="F18" i="65137"/>
  <c r="F19" i="65137"/>
  <c r="F20" i="65137"/>
  <c r="F21" i="65137"/>
  <c r="F22" i="65137"/>
  <c r="F27" i="65137"/>
  <c r="F28" i="65137"/>
  <c r="F31" i="65137"/>
  <c r="F33" i="65137"/>
  <c r="F34" i="65137"/>
  <c r="F35" i="65137"/>
  <c r="F36" i="65137"/>
  <c r="F37" i="65137"/>
  <c r="F38" i="65137"/>
  <c r="D40" i="65137"/>
  <c r="F40" i="65137" s="1"/>
  <c r="F41" i="65137"/>
  <c r="F42" i="65137"/>
  <c r="F43" i="65137"/>
  <c r="F44" i="65137"/>
  <c r="F45" i="65137"/>
  <c r="F46" i="65137"/>
  <c r="D47" i="65137"/>
  <c r="F47" i="65137" s="1"/>
  <c r="F48" i="65137"/>
  <c r="F49" i="65137"/>
  <c r="F50" i="65137"/>
  <c r="F51" i="65137"/>
  <c r="F52" i="65137"/>
  <c r="F53" i="65137"/>
  <c r="D54" i="65137"/>
  <c r="F54" i="65137" s="1"/>
  <c r="F55" i="65137"/>
  <c r="F56" i="65137"/>
  <c r="F57" i="65137"/>
  <c r="F58" i="65137"/>
  <c r="F59" i="65137"/>
  <c r="F60" i="65137"/>
  <c r="F62" i="65137"/>
  <c r="F63" i="65137"/>
  <c r="D61" i="65137"/>
  <c r="F66" i="65137"/>
  <c r="F67" i="65137"/>
  <c r="F71" i="65137"/>
  <c r="F73" i="65137"/>
  <c r="F74" i="65137"/>
  <c r="F75" i="65137"/>
  <c r="F78" i="65137"/>
  <c r="F79" i="65137"/>
  <c r="F80" i="65137"/>
  <c r="F81" i="65137"/>
  <c r="F82" i="65137"/>
  <c r="F83" i="65137"/>
  <c r="F84" i="65137"/>
  <c r="F85" i="65137"/>
  <c r="C5" i="65124"/>
  <c r="C6" i="65124"/>
  <c r="D6" i="65124"/>
  <c r="C7" i="65124"/>
  <c r="C8" i="65124"/>
  <c r="C9" i="65124"/>
  <c r="C11" i="65124"/>
  <c r="C12" i="65124"/>
  <c r="C13" i="65124"/>
  <c r="C14" i="65124"/>
  <c r="C15" i="65124"/>
  <c r="C16" i="65124"/>
  <c r="C17" i="65124"/>
  <c r="C19" i="65124"/>
  <c r="C20" i="65124"/>
  <c r="C21" i="65124"/>
  <c r="C22" i="65124"/>
  <c r="C23" i="65124"/>
  <c r="C25" i="65124"/>
  <c r="C26" i="65124"/>
  <c r="C27" i="65124"/>
  <c r="C28" i="65124"/>
  <c r="C29" i="65124"/>
  <c r="C30" i="65124"/>
  <c r="C31" i="65124"/>
  <c r="C32" i="65124"/>
  <c r="C33" i="65124"/>
  <c r="C34" i="65124"/>
  <c r="C35" i="65124"/>
  <c r="C36" i="65124"/>
  <c r="C37" i="65124"/>
  <c r="C38" i="65124"/>
  <c r="C39" i="65124"/>
  <c r="C40" i="65124"/>
  <c r="N15" i="65105"/>
  <c r="N26" i="65105"/>
  <c r="J41" i="65124" s="1"/>
  <c r="N15" i="65098"/>
  <c r="N26" i="65098"/>
  <c r="N15" i="65097"/>
  <c r="N26" i="65097"/>
  <c r="J39" i="65124" s="1"/>
  <c r="N15" i="65096"/>
  <c r="N26" i="65096"/>
  <c r="N15" i="65095"/>
  <c r="N15" i="65094"/>
  <c r="F36" i="65124" s="1"/>
  <c r="N26" i="65094"/>
  <c r="N15" i="65093"/>
  <c r="G35" i="65124"/>
  <c r="N15" i="65089"/>
  <c r="N26" i="65089"/>
  <c r="N15" i="65088"/>
  <c r="N26" i="65088"/>
  <c r="N15" i="65087"/>
  <c r="F32" i="65124" s="1"/>
  <c r="N26" i="65087"/>
  <c r="N15" i="65086"/>
  <c r="N26" i="65086"/>
  <c r="N15" i="65085"/>
  <c r="N15" i="65084"/>
  <c r="N26" i="65084"/>
  <c r="N15" i="65083"/>
  <c r="N26" i="65083"/>
  <c r="D30" i="65125" s="1"/>
  <c r="C30" i="65125" s="1"/>
  <c r="N26" i="65122"/>
  <c r="N15" i="65081"/>
  <c r="N26" i="65081"/>
  <c r="J26" i="65124" s="1"/>
  <c r="N15" i="65082"/>
  <c r="N26" i="65082"/>
  <c r="N15" i="65080"/>
  <c r="N41" i="65080"/>
  <c r="N15" i="65079"/>
  <c r="G23" i="65124"/>
  <c r="N36" i="65079"/>
  <c r="O36" i="65079" s="1"/>
  <c r="N15" i="65078"/>
  <c r="O30" i="65078"/>
  <c r="N15" i="65077"/>
  <c r="J21" i="65124"/>
  <c r="N8" i="65076"/>
  <c r="N18" i="65076"/>
  <c r="F20" i="65124" s="1"/>
  <c r="N35" i="65076"/>
  <c r="N39" i="65076"/>
  <c r="O39" i="65076" s="1"/>
  <c r="K20" i="65124"/>
  <c r="J19" i="65124"/>
  <c r="N15" i="65115"/>
  <c r="N26" i="65115"/>
  <c r="J17" i="65124" s="1"/>
  <c r="N15" i="65100"/>
  <c r="N26" i="65100"/>
  <c r="D18" i="65125" s="1"/>
  <c r="C18" i="65125" s="1"/>
  <c r="N15" i="65074"/>
  <c r="O26" i="65074"/>
  <c r="N15" i="65071"/>
  <c r="N27" i="65071"/>
  <c r="D16" i="65125" s="1"/>
  <c r="C16" i="65125" s="1"/>
  <c r="N15" i="65070"/>
  <c r="N28" i="65070"/>
  <c r="N17" i="65069"/>
  <c r="N28" i="65069"/>
  <c r="N15" i="65068"/>
  <c r="N26" i="65068"/>
  <c r="N15" i="65123"/>
  <c r="N26" i="65123"/>
  <c r="N15" i="65099"/>
  <c r="N26" i="65099"/>
  <c r="N15" i="65067"/>
  <c r="N8" i="65065"/>
  <c r="N21" i="65065"/>
  <c r="N42" i="65065"/>
  <c r="O42" i="65065" s="1"/>
  <c r="O45" i="65065"/>
  <c r="N15" i="16"/>
  <c r="J5" i="65124"/>
  <c r="L8" i="300"/>
  <c r="F10" i="300"/>
  <c r="K10" i="300"/>
  <c r="F11" i="300"/>
  <c r="K11" i="300"/>
  <c r="F12" i="300"/>
  <c r="K12" i="300"/>
  <c r="F13" i="300"/>
  <c r="K13" i="300"/>
  <c r="D25" i="304"/>
  <c r="L27" i="300"/>
  <c r="L28" i="300"/>
  <c r="L29" i="300"/>
  <c r="L31" i="300"/>
  <c r="L33" i="300"/>
  <c r="L34" i="300"/>
  <c r="L36" i="300"/>
  <c r="F37" i="300"/>
  <c r="L39" i="300"/>
  <c r="F40" i="300"/>
  <c r="L42" i="300"/>
  <c r="F45" i="300"/>
  <c r="L45" i="300"/>
  <c r="F46" i="300"/>
  <c r="L46" i="300"/>
  <c r="L48" i="300"/>
  <c r="F54" i="300"/>
  <c r="K54" i="300"/>
  <c r="F56" i="300"/>
  <c r="K56" i="300"/>
  <c r="F57" i="300"/>
  <c r="K57" i="300"/>
  <c r="F58" i="300"/>
  <c r="K58" i="300"/>
  <c r="F59" i="300"/>
  <c r="K59" i="300"/>
  <c r="F60" i="300"/>
  <c r="K60" i="300"/>
  <c r="F61" i="300"/>
  <c r="K61" i="300"/>
  <c r="F67" i="300"/>
  <c r="K67" i="300"/>
  <c r="L70" i="300"/>
  <c r="F73" i="300"/>
  <c r="K73" i="300"/>
  <c r="F75" i="300"/>
  <c r="K75" i="300"/>
  <c r="F76" i="300"/>
  <c r="K76" i="300"/>
  <c r="F77" i="300"/>
  <c r="K77" i="300"/>
  <c r="F79" i="300"/>
  <c r="K79" i="300"/>
  <c r="F80" i="300"/>
  <c r="K80" i="300"/>
  <c r="F84" i="300"/>
  <c r="K84" i="300"/>
  <c r="F85" i="300"/>
  <c r="K85" i="300"/>
  <c r="F86" i="300"/>
  <c r="K86" i="300"/>
  <c r="F87" i="300"/>
  <c r="K87" i="300"/>
  <c r="F89" i="300"/>
  <c r="K89" i="300"/>
  <c r="F90" i="300"/>
  <c r="K90" i="300"/>
  <c r="D28" i="304"/>
  <c r="F100" i="300"/>
  <c r="K100" i="300"/>
  <c r="F101" i="300"/>
  <c r="K101" i="300"/>
  <c r="L105" i="300"/>
  <c r="L106" i="300"/>
  <c r="G36" i="304"/>
  <c r="D39" i="65125"/>
  <c r="C39" i="65125" s="1"/>
  <c r="G37" i="65124"/>
  <c r="J35" i="65124"/>
  <c r="D37" i="65125"/>
  <c r="C37" i="65125" s="1"/>
  <c r="D24" i="65125"/>
  <c r="C24" i="65125" s="1"/>
  <c r="G22" i="65124"/>
  <c r="D21" i="65125"/>
  <c r="C21" i="65125" s="1"/>
  <c r="F19" i="65124"/>
  <c r="J15" i="65124"/>
  <c r="E5" i="65124"/>
  <c r="E36" i="65124"/>
  <c r="E19" i="65124"/>
  <c r="E9" i="65124"/>
  <c r="E38" i="65124"/>
  <c r="E16" i="65124"/>
  <c r="G20" i="65124"/>
  <c r="G21" i="65124"/>
  <c r="D8" i="65125"/>
  <c r="C8" i="65125" s="1"/>
  <c r="D17" i="65125"/>
  <c r="C17" i="65125" s="1"/>
  <c r="D9" i="65125"/>
  <c r="C9" i="65125" s="1"/>
  <c r="J7" i="65124"/>
  <c r="D23" i="65125"/>
  <c r="C23" i="65125" s="1"/>
  <c r="J37" i="65124"/>
  <c r="J6" i="65124"/>
  <c r="G24" i="65124"/>
  <c r="C24" i="65124"/>
  <c r="G19" i="65124"/>
  <c r="E31" i="304"/>
  <c r="E18" i="304"/>
  <c r="N31" i="65089" l="1"/>
  <c r="D43" i="65125"/>
  <c r="C43" i="65125" s="1"/>
  <c r="F41" i="300"/>
  <c r="K53" i="300"/>
  <c r="F53" i="300"/>
  <c r="J28" i="65124"/>
  <c r="D41" i="65125"/>
  <c r="C41" i="65125" s="1"/>
  <c r="D13" i="65125"/>
  <c r="C13" i="65125" s="1"/>
  <c r="L86" i="300"/>
  <c r="L100" i="300"/>
  <c r="L59" i="300"/>
  <c r="L60" i="300"/>
  <c r="L58" i="300"/>
  <c r="L87" i="300"/>
  <c r="L80" i="300"/>
  <c r="L71" i="300"/>
  <c r="L75" i="300"/>
  <c r="F21" i="65124"/>
  <c r="F41" i="65124"/>
  <c r="D42" i="65125"/>
  <c r="C42" i="65125" s="1"/>
  <c r="E39" i="65124"/>
  <c r="F37" i="65124"/>
  <c r="L37" i="65124" s="1"/>
  <c r="E34" i="65124"/>
  <c r="J32" i="65124"/>
  <c r="D33" i="65125"/>
  <c r="C33" i="65125" s="1"/>
  <c r="J30" i="65124"/>
  <c r="E28" i="65124"/>
  <c r="E26" i="65124"/>
  <c r="O41" i="65080"/>
  <c r="E23" i="65124"/>
  <c r="O35" i="65076"/>
  <c r="O8" i="65076"/>
  <c r="E17" i="65124"/>
  <c r="E15" i="65124"/>
  <c r="F12" i="65124"/>
  <c r="E7" i="65124"/>
  <c r="E6" i="65124"/>
  <c r="D26" i="65125"/>
  <c r="C26" i="65125" s="1"/>
  <c r="D28" i="65125"/>
  <c r="C28" i="65125" s="1"/>
  <c r="J24" i="65124"/>
  <c r="N33" i="65069"/>
  <c r="E24" i="65137" s="1"/>
  <c r="F24" i="65137" s="1"/>
  <c r="J31" i="65124"/>
  <c r="D25" i="65125"/>
  <c r="C25" i="65125" s="1"/>
  <c r="D32" i="65125"/>
  <c r="C32" i="65125" s="1"/>
  <c r="J11" i="65124"/>
  <c r="J20" i="65124"/>
  <c r="D22" i="65125"/>
  <c r="C22" i="65125" s="1"/>
  <c r="N52" i="65065"/>
  <c r="N31" i="65068"/>
  <c r="E11" i="65137" s="1"/>
  <c r="L85" i="300"/>
  <c r="L57" i="300"/>
  <c r="L101" i="300"/>
  <c r="L13" i="300"/>
  <c r="L54" i="300"/>
  <c r="O15" i="65105"/>
  <c r="O12" i="65098"/>
  <c r="O8" i="65098"/>
  <c r="O15" i="65097"/>
  <c r="O12" i="65097"/>
  <c r="O8" i="65097"/>
  <c r="O15" i="65096"/>
  <c r="O12" i="65096"/>
  <c r="O8" i="65096"/>
  <c r="O15" i="65095"/>
  <c r="O12" i="65095"/>
  <c r="O8" i="65095"/>
  <c r="O15" i="65094"/>
  <c r="O8" i="65094"/>
  <c r="O15" i="65093"/>
  <c r="O12" i="65093"/>
  <c r="O8" i="65093"/>
  <c r="O15" i="65089"/>
  <c r="O12" i="65089"/>
  <c r="O8" i="65089"/>
  <c r="O15" i="65088"/>
  <c r="O12" i="65088"/>
  <c r="O8" i="65088"/>
  <c r="O15" i="65087"/>
  <c r="N31" i="65087"/>
  <c r="O8" i="65087"/>
  <c r="O15" i="65086"/>
  <c r="O12" i="65086"/>
  <c r="O8" i="65086"/>
  <c r="O15" i="65085"/>
  <c r="O12" i="65085"/>
  <c r="O8" i="65085"/>
  <c r="O12" i="65084"/>
  <c r="O8" i="65084"/>
  <c r="O12" i="65083"/>
  <c r="O8" i="65083"/>
  <c r="O15" i="65122"/>
  <c r="O12" i="65122"/>
  <c r="O8" i="65122"/>
  <c r="O12" i="65081"/>
  <c r="O8" i="65081"/>
  <c r="O15" i="65082"/>
  <c r="O12" i="65082"/>
  <c r="O8" i="65082"/>
  <c r="L79" i="300"/>
  <c r="L67" i="300"/>
  <c r="L61" i="300"/>
  <c r="O15" i="65079"/>
  <c r="O12" i="65079"/>
  <c r="O12" i="65078"/>
  <c r="O8" i="65078"/>
  <c r="O15" i="65077"/>
  <c r="O12" i="65077"/>
  <c r="O8" i="65077"/>
  <c r="L89" i="300"/>
  <c r="O18" i="65076"/>
  <c r="O12" i="65075"/>
  <c r="O15" i="65115"/>
  <c r="O12" i="65115"/>
  <c r="O8" i="65115"/>
  <c r="O15" i="65100"/>
  <c r="O12" i="65100"/>
  <c r="O8" i="65100"/>
  <c r="N31" i="65074"/>
  <c r="O12" i="65074"/>
  <c r="O8" i="65074"/>
  <c r="O12" i="65071"/>
  <c r="O8" i="65071"/>
  <c r="O28" i="65070"/>
  <c r="O12" i="65070"/>
  <c r="O8" i="65070"/>
  <c r="O28" i="65069"/>
  <c r="O17" i="65069"/>
  <c r="O8" i="65069"/>
  <c r="O15" i="65068"/>
  <c r="O12" i="65068"/>
  <c r="O8" i="65068"/>
  <c r="O15" i="65123"/>
  <c r="O12" i="65123"/>
  <c r="O8" i="65123"/>
  <c r="O15" i="65099"/>
  <c r="O8" i="65099"/>
  <c r="O12" i="65067"/>
  <c r="O8" i="65067"/>
  <c r="L77" i="300"/>
  <c r="L76" i="300"/>
  <c r="O34" i="65065"/>
  <c r="O21" i="65065"/>
  <c r="O18" i="65065"/>
  <c r="L12" i="300"/>
  <c r="L11" i="300"/>
  <c r="O15" i="16"/>
  <c r="O12" i="16"/>
  <c r="O8" i="16"/>
  <c r="N31" i="65088"/>
  <c r="N31" i="65115"/>
  <c r="O15" i="65067"/>
  <c r="N31" i="65067"/>
  <c r="J8" i="65124"/>
  <c r="N31" i="65099"/>
  <c r="O26" i="65123"/>
  <c r="N31" i="65123"/>
  <c r="O26" i="65068"/>
  <c r="O26" i="65100"/>
  <c r="N31" i="65100"/>
  <c r="O26" i="65083"/>
  <c r="N31" i="65083"/>
  <c r="J29" i="65124"/>
  <c r="N31" i="65084"/>
  <c r="O26" i="65096"/>
  <c r="N31" i="65096"/>
  <c r="O26" i="65097"/>
  <c r="N31" i="65097"/>
  <c r="O26" i="65098"/>
  <c r="N31" i="65098"/>
  <c r="O26" i="65105"/>
  <c r="O26" i="65085"/>
  <c r="N31" i="65085"/>
  <c r="O26" i="65082"/>
  <c r="N31" i="65082"/>
  <c r="O26" i="65081"/>
  <c r="N31" i="65081"/>
  <c r="O26" i="65122"/>
  <c r="N31" i="65122"/>
  <c r="O26" i="65086"/>
  <c r="N31" i="65086"/>
  <c r="O26" i="65089"/>
  <c r="D38" i="65125"/>
  <c r="C38" i="65125" s="1"/>
  <c r="N31" i="65094"/>
  <c r="O15" i="65080"/>
  <c r="O15" i="65075"/>
  <c r="F7" i="65124"/>
  <c r="O15" i="65078"/>
  <c r="O13" i="65065"/>
  <c r="O11" i="65076"/>
  <c r="O8" i="65065"/>
  <c r="E30" i="65124"/>
  <c r="E22" i="65124"/>
  <c r="F22" i="65124"/>
  <c r="L10" i="300"/>
  <c r="E13" i="65124"/>
  <c r="J9" i="65124"/>
  <c r="F33" i="65124"/>
  <c r="F31" i="65124"/>
  <c r="J25" i="65124"/>
  <c r="F24" i="65124"/>
  <c r="F9" i="300"/>
  <c r="D23" i="304" s="1"/>
  <c r="F11" i="65124"/>
  <c r="J40" i="65124"/>
  <c r="J38" i="65124"/>
  <c r="D40" i="65125"/>
  <c r="C40" i="65125" s="1"/>
  <c r="J13" i="65124"/>
  <c r="D15" i="65125"/>
  <c r="C15" i="65125" s="1"/>
  <c r="N32" i="65071"/>
  <c r="G6" i="65124"/>
  <c r="G42" i="65124" s="1"/>
  <c r="N48" i="65076"/>
  <c r="E33" i="65124"/>
  <c r="J12" i="65124"/>
  <c r="E25" i="65124"/>
  <c r="F38" i="65124"/>
  <c r="J16" i="65124"/>
  <c r="J34" i="65124"/>
  <c r="F5" i="65124"/>
  <c r="L5" i="65124" s="1"/>
  <c r="F34" i="65124"/>
  <c r="E31" i="65124"/>
  <c r="E14" i="65124"/>
  <c r="D36" i="65125"/>
  <c r="C36" i="65125" s="1"/>
  <c r="K99" i="300"/>
  <c r="D29" i="65125"/>
  <c r="C29" i="65125" s="1"/>
  <c r="N37" i="65077"/>
  <c r="E40" i="65124"/>
  <c r="E29" i="65124"/>
  <c r="D11" i="65125"/>
  <c r="C11" i="65125" s="1"/>
  <c r="J27" i="65124"/>
  <c r="L27" i="65124" s="1"/>
  <c r="F30" i="65124"/>
  <c r="F23" i="65124"/>
  <c r="K9" i="300"/>
  <c r="B2" i="65061" s="1"/>
  <c r="N36" i="65095"/>
  <c r="E25" i="65137" s="1"/>
  <c r="D14" i="65125"/>
  <c r="C14" i="65125" s="1"/>
  <c r="E35" i="65124"/>
  <c r="F9" i="65124"/>
  <c r="N34" i="65093"/>
  <c r="J23" i="65124"/>
  <c r="I20" i="65124"/>
  <c r="I42" i="65124" s="1"/>
  <c r="F39" i="65124"/>
  <c r="F16" i="65124"/>
  <c r="N33" i="65070"/>
  <c r="E29" i="65137" s="1"/>
  <c r="N46" i="65080"/>
  <c r="E76" i="65137" s="1"/>
  <c r="J36" i="65124"/>
  <c r="L36" i="65124" s="1"/>
  <c r="O26" i="65094"/>
  <c r="E11" i="65124"/>
  <c r="L108" i="300"/>
  <c r="O8" i="65079"/>
  <c r="N41" i="65079"/>
  <c r="E32" i="65137" s="1"/>
  <c r="O8" i="65075"/>
  <c r="N40" i="65075"/>
  <c r="F88" i="300"/>
  <c r="F83" i="300"/>
  <c r="F72" i="300"/>
  <c r="L84" i="300"/>
  <c r="K83" i="300"/>
  <c r="K72" i="300"/>
  <c r="F63" i="300"/>
  <c r="K63" i="300"/>
  <c r="L90" i="300"/>
  <c r="K88" i="300"/>
  <c r="L56" i="300"/>
  <c r="D27" i="65125"/>
  <c r="C27" i="65125" s="1"/>
  <c r="F25" i="65124"/>
  <c r="F17" i="65124"/>
  <c r="L73" i="300"/>
  <c r="F6" i="65124"/>
  <c r="N37" i="65078"/>
  <c r="J22" i="65124"/>
  <c r="O8" i="65080"/>
  <c r="H6" i="65124"/>
  <c r="H42" i="65124" s="1"/>
  <c r="F61" i="65137"/>
  <c r="E21" i="65124"/>
  <c r="L21" i="65124" s="1"/>
  <c r="L37" i="300"/>
  <c r="L35" i="300"/>
  <c r="E41" i="65124"/>
  <c r="O12" i="65105"/>
  <c r="F40" i="65124"/>
  <c r="O15" i="65098"/>
  <c r="D35" i="65125"/>
  <c r="C35" i="65125" s="1"/>
  <c r="O26" i="65088"/>
  <c r="D34" i="65125"/>
  <c r="C34" i="65125" s="1"/>
  <c r="O26" i="65087"/>
  <c r="E32" i="65124"/>
  <c r="O12" i="65087"/>
  <c r="D31" i="65125"/>
  <c r="C31" i="65125" s="1"/>
  <c r="O26" i="65084"/>
  <c r="F29" i="65124"/>
  <c r="O15" i="65084"/>
  <c r="F28" i="65124"/>
  <c r="L28" i="65124" s="1"/>
  <c r="O15" i="65083"/>
  <c r="F26" i="65124"/>
  <c r="O15" i="65081"/>
  <c r="E24" i="65124"/>
  <c r="O12" i="65080"/>
  <c r="E20" i="65124"/>
  <c r="O15" i="65076"/>
  <c r="F99" i="300"/>
  <c r="D29" i="304" s="1"/>
  <c r="D19" i="65125"/>
  <c r="C19" i="65125" s="1"/>
  <c r="O26" i="65115"/>
  <c r="F15" i="65124"/>
  <c r="O15" i="65074"/>
  <c r="J14" i="65124"/>
  <c r="O27" i="65071"/>
  <c r="F14" i="65124"/>
  <c r="O15" i="65071"/>
  <c r="F13" i="65124"/>
  <c r="O15" i="65070"/>
  <c r="E12" i="65124"/>
  <c r="O12" i="65069"/>
  <c r="D10" i="65125"/>
  <c r="C10" i="65125" s="1"/>
  <c r="O26" i="65099"/>
  <c r="E8" i="65124"/>
  <c r="O12" i="65099"/>
  <c r="D7" i="65125"/>
  <c r="C7" i="65125" s="1"/>
  <c r="O26" i="16"/>
  <c r="L92" i="300"/>
  <c r="L93" i="300"/>
  <c r="L22" i="300"/>
  <c r="D77" i="65137"/>
  <c r="K112" i="300"/>
  <c r="F112" i="300"/>
  <c r="L38" i="300"/>
  <c r="E16" i="304"/>
  <c r="E43" i="304" s="1"/>
  <c r="H21" i="304"/>
  <c r="F35" i="65124"/>
  <c r="J33" i="65124"/>
  <c r="D8" i="65137"/>
  <c r="D42" i="65124"/>
  <c r="F8" i="65124"/>
  <c r="F38" i="300"/>
  <c r="F35" i="300"/>
  <c r="D23" i="65137"/>
  <c r="N32" i="16"/>
  <c r="D30" i="65137"/>
  <c r="D68" i="65137"/>
  <c r="K42" i="65124"/>
  <c r="F17" i="300"/>
  <c r="F15" i="300" s="1"/>
  <c r="D24" i="304" s="1"/>
  <c r="L19" i="65124"/>
  <c r="L41" i="300"/>
  <c r="E37" i="304"/>
  <c r="L39" i="65124" l="1"/>
  <c r="L17" i="65124"/>
  <c r="L32" i="65124"/>
  <c r="L7" i="65124"/>
  <c r="L15" i="65124"/>
  <c r="E70" i="65137"/>
  <c r="F70" i="65137" s="1"/>
  <c r="E9" i="65137"/>
  <c r="E8" i="65137" s="1"/>
  <c r="E86" i="65137"/>
  <c r="E77" i="65137" s="1"/>
  <c r="E26" i="65137"/>
  <c r="E23" i="65137" s="1"/>
  <c r="E69" i="65137"/>
  <c r="O31" i="65088"/>
  <c r="O31" i="65087"/>
  <c r="L26" i="65124"/>
  <c r="N32" i="65115"/>
  <c r="O32" i="65115" s="1"/>
  <c r="O31" i="65100"/>
  <c r="O31" i="65074"/>
  <c r="O31" i="65099"/>
  <c r="N35" i="65140"/>
  <c r="O31" i="65067"/>
  <c r="O48" i="65076"/>
  <c r="N34" i="65069"/>
  <c r="O52" i="65065"/>
  <c r="L34" i="65124"/>
  <c r="O33" i="65069"/>
  <c r="L11" i="65124"/>
  <c r="L31" i="65124"/>
  <c r="L30" i="65124"/>
  <c r="O31" i="65115"/>
  <c r="N49" i="65076"/>
  <c r="G29" i="304"/>
  <c r="L16" i="65124"/>
  <c r="N42" i="65079"/>
  <c r="L40" i="65124"/>
  <c r="O31" i="65098"/>
  <c r="F25" i="65137"/>
  <c r="O34" i="65093"/>
  <c r="O31" i="65089"/>
  <c r="O31" i="65086"/>
  <c r="O31" i="65085"/>
  <c r="O31" i="65084"/>
  <c r="O31" i="65083"/>
  <c r="O31" i="65122"/>
  <c r="O31" i="65081"/>
  <c r="O37" i="65078"/>
  <c r="N38" i="65077"/>
  <c r="G38" i="304"/>
  <c r="L88" i="300"/>
  <c r="N41" i="65075"/>
  <c r="N32" i="65100"/>
  <c r="N33" i="65071"/>
  <c r="F29" i="65137"/>
  <c r="O31" i="65123"/>
  <c r="L9" i="300"/>
  <c r="L83" i="300"/>
  <c r="L53" i="300"/>
  <c r="L63" i="300"/>
  <c r="L72" i="300"/>
  <c r="F26" i="300"/>
  <c r="L33" i="65124"/>
  <c r="O32" i="65071"/>
  <c r="L22" i="65124"/>
  <c r="N32" i="65098"/>
  <c r="L12" i="65124"/>
  <c r="L20" i="65124"/>
  <c r="L14" i="65124"/>
  <c r="O36" i="65095"/>
  <c r="L9" i="65124"/>
  <c r="L23" i="65124"/>
  <c r="L38" i="65124"/>
  <c r="N37" i="65095"/>
  <c r="L29" i="65124"/>
  <c r="L13" i="65124"/>
  <c r="O31" i="65068"/>
  <c r="N32" i="65068"/>
  <c r="L24" i="65124"/>
  <c r="L25" i="65124"/>
  <c r="L43" i="65124"/>
  <c r="L99" i="300"/>
  <c r="G23" i="304"/>
  <c r="O37" i="65077"/>
  <c r="O33" i="65070"/>
  <c r="L35" i="65124"/>
  <c r="N35" i="65093"/>
  <c r="O31" i="65082"/>
  <c r="F32" i="65137"/>
  <c r="N38" i="65078"/>
  <c r="E42" i="65124"/>
  <c r="L21" i="300"/>
  <c r="O40" i="65075"/>
  <c r="N32" i="65089"/>
  <c r="O41" i="65079"/>
  <c r="L6" i="65124"/>
  <c r="N32" i="65122"/>
  <c r="F52" i="300"/>
  <c r="D27" i="304" s="1"/>
  <c r="L8" i="65124"/>
  <c r="J42" i="65124"/>
  <c r="O46" i="65080"/>
  <c r="O32" i="16"/>
  <c r="N33" i="16"/>
  <c r="D38" i="304"/>
  <c r="D37" i="304" s="1"/>
  <c r="D39" i="304" s="1"/>
  <c r="D44" i="65125"/>
  <c r="F42" i="65124"/>
  <c r="G25" i="304"/>
  <c r="N32" i="65097"/>
  <c r="O31" i="65097"/>
  <c r="N32" i="65096"/>
  <c r="O31" i="65096"/>
  <c r="N32" i="65094"/>
  <c r="O31" i="65094"/>
  <c r="O33" i="65115"/>
  <c r="E32" i="304"/>
  <c r="E34" i="304" s="1"/>
  <c r="D33" i="304"/>
  <c r="D32" i="304" s="1"/>
  <c r="D34" i="304" s="1"/>
  <c r="G28" i="304"/>
  <c r="G33" i="304"/>
  <c r="L103" i="300"/>
  <c r="C44" i="65125"/>
  <c r="L17" i="300"/>
  <c r="L112" i="300"/>
  <c r="F11" i="65137"/>
  <c r="K52" i="300"/>
  <c r="D7" i="65137"/>
  <c r="H20" i="304"/>
  <c r="E39" i="304"/>
  <c r="E68" i="65137" l="1"/>
  <c r="F68" i="65137" s="1"/>
  <c r="F69" i="65137"/>
  <c r="F26" i="65137"/>
  <c r="O33" i="65071"/>
  <c r="N35" i="65069"/>
  <c r="O34" i="65069"/>
  <c r="N38" i="65095"/>
  <c r="O38" i="65095" s="1"/>
  <c r="O42" i="65079"/>
  <c r="N50" i="65076"/>
  <c r="N42" i="65075"/>
  <c r="O32" i="65100"/>
  <c r="O35" i="65140"/>
  <c r="N39" i="65077"/>
  <c r="N43" i="65079"/>
  <c r="O49" i="65076"/>
  <c r="O38" i="65077"/>
  <c r="H29" i="304"/>
  <c r="N33" i="65141"/>
  <c r="O33" i="65141" s="1"/>
  <c r="O32" i="65098"/>
  <c r="O32" i="65097"/>
  <c r="O32" i="65096"/>
  <c r="O37" i="65095"/>
  <c r="N36" i="65093"/>
  <c r="O32" i="65089"/>
  <c r="O32" i="65122"/>
  <c r="O38" i="65078"/>
  <c r="H38" i="304"/>
  <c r="O41" i="65075"/>
  <c r="O32" i="65068"/>
  <c r="N36" i="65140"/>
  <c r="H23" i="304"/>
  <c r="H28" i="304"/>
  <c r="G32" i="304"/>
  <c r="H25" i="304"/>
  <c r="N33" i="65098"/>
  <c r="N33" i="65068"/>
  <c r="O35" i="65093"/>
  <c r="N39" i="65078"/>
  <c r="F76" i="65137"/>
  <c r="N33" i="65089"/>
  <c r="F9" i="65137"/>
  <c r="F8" i="65137"/>
  <c r="N34" i="16"/>
  <c r="O33" i="16"/>
  <c r="N33" i="65097"/>
  <c r="F23" i="65137"/>
  <c r="N33" i="65096"/>
  <c r="H33" i="304"/>
  <c r="O32" i="65094"/>
  <c r="N33" i="65094"/>
  <c r="E22" i="304"/>
  <c r="E30" i="304" s="1"/>
  <c r="E35" i="304" s="1"/>
  <c r="D26" i="304"/>
  <c r="D22" i="304" s="1"/>
  <c r="G37" i="304"/>
  <c r="G26" i="304"/>
  <c r="L26" i="300"/>
  <c r="G27" i="304"/>
  <c r="L52" i="300"/>
  <c r="O33" i="65123"/>
  <c r="O32" i="65123"/>
  <c r="F7" i="300"/>
  <c r="O35" i="65069" l="1"/>
  <c r="O43" i="65079"/>
  <c r="O39" i="65077"/>
  <c r="O50" i="65076"/>
  <c r="O42" i="65075"/>
  <c r="G34" i="304"/>
  <c r="H32" i="304"/>
  <c r="O36" i="65140"/>
  <c r="O33" i="65098"/>
  <c r="O33" i="65097"/>
  <c r="O33" i="65096"/>
  <c r="O33" i="65094"/>
  <c r="O36" i="65093"/>
  <c r="O33" i="65089"/>
  <c r="O39" i="65078"/>
  <c r="O33" i="65068"/>
  <c r="O34" i="16"/>
  <c r="H27" i="304"/>
  <c r="H26" i="304"/>
  <c r="F86" i="65137"/>
  <c r="E44" i="304"/>
  <c r="D44" i="304"/>
  <c r="D30" i="304"/>
  <c r="D35" i="304" s="1"/>
  <c r="D40" i="304" s="1"/>
  <c r="G39" i="304"/>
  <c r="H37" i="304"/>
  <c r="E40" i="304"/>
  <c r="D45" i="304" l="1"/>
  <c r="E45" i="304"/>
  <c r="H34" i="304"/>
  <c r="H39" i="304"/>
  <c r="F77" i="65137"/>
  <c r="H19" i="304" l="1"/>
  <c r="O9" i="65105" l="1"/>
  <c r="N8" i="65105"/>
  <c r="C41" i="65124"/>
  <c r="C42" i="65124" s="1"/>
  <c r="O8" i="65105" l="1"/>
  <c r="N31" i="65105"/>
  <c r="E39" i="65137" s="1"/>
  <c r="E30" i="65137" s="1"/>
  <c r="E7" i="65137" s="1"/>
  <c r="L41" i="65124"/>
  <c r="L42" i="65124" s="1"/>
  <c r="K15" i="300"/>
  <c r="K117" i="300" l="1"/>
  <c r="K7" i="300"/>
  <c r="N32" i="65105"/>
  <c r="O31" i="65105"/>
  <c r="L15" i="300"/>
  <c r="G24" i="304"/>
  <c r="C126" i="300" l="1"/>
  <c r="N33" i="65105"/>
  <c r="O32" i="65105"/>
  <c r="H24" i="304"/>
  <c r="L7" i="300"/>
  <c r="F39" i="65137"/>
  <c r="L117" i="300"/>
  <c r="G22" i="304"/>
  <c r="F30" i="65137"/>
  <c r="F7" i="65137"/>
  <c r="O33" i="65105" l="1"/>
  <c r="H22" i="304"/>
  <c r="G44" i="304"/>
  <c r="H44" i="304" l="1"/>
  <c r="G17" i="304" l="1"/>
  <c r="H5" i="65139"/>
  <c r="H17" i="304" l="1"/>
  <c r="G64" i="65139"/>
  <c r="H64" i="65139" s="1"/>
  <c r="H66" i="65139"/>
  <c r="G63" i="65139" l="1"/>
  <c r="G62" i="65139" l="1"/>
  <c r="H63" i="65139"/>
  <c r="G186" i="65139" l="1"/>
  <c r="H62" i="65139"/>
  <c r="G18" i="304"/>
  <c r="H18" i="304" l="1"/>
  <c r="G16" i="304"/>
  <c r="G262" i="65139"/>
  <c r="H186" i="65139"/>
  <c r="H262" i="65139" l="1"/>
  <c r="G269" i="65139"/>
  <c r="G43" i="304"/>
  <c r="H16" i="304"/>
  <c r="G30" i="304"/>
  <c r="H269" i="65139" l="1"/>
  <c r="D2" i="65061"/>
  <c r="C2" i="65061" s="1"/>
  <c r="A4" i="65061" s="1"/>
  <c r="G45" i="304"/>
  <c r="L44" i="65124" s="1"/>
  <c r="L45" i="65124" s="1"/>
  <c r="H43" i="304"/>
  <c r="G35" i="304"/>
  <c r="H30" i="304"/>
  <c r="G40" i="304" l="1"/>
  <c r="H35" i="304"/>
</calcChain>
</file>

<file path=xl/sharedStrings.xml><?xml version="1.0" encoding="utf-8"?>
<sst xmlns="http://schemas.openxmlformats.org/spreadsheetml/2006/main" count="2834" uniqueCount="982">
  <si>
    <t>Bosna i Hercegovina
Federacija Bosne i 
Hercegovine
Županija Posavska
S K U P Š T I N A</t>
  </si>
  <si>
    <t>Bosnia and Herzegovina
Federation of Bosnia and Herzegovina
Posavina County
THE ASSEMBLY</t>
  </si>
  <si>
    <r>
      <t>IZMJENE I DOPUNE 
PRORAČUNA ŽUPANIJE POSAVSKE</t>
    </r>
    <r>
      <rPr>
        <b/>
        <sz val="10"/>
        <rFont val="Arial"/>
        <family val="2"/>
      </rPr>
      <t xml:space="preserve">
</t>
    </r>
    <r>
      <rPr>
        <b/>
        <sz val="14"/>
        <rFont val="Arial"/>
        <family val="2"/>
      </rPr>
      <t>za 2024. godinu</t>
    </r>
  </si>
  <si>
    <t>SADRŽAJ</t>
  </si>
  <si>
    <t>RB</t>
  </si>
  <si>
    <t>O P I S</t>
  </si>
  <si>
    <t>Stranica</t>
  </si>
  <si>
    <t>1.</t>
  </si>
  <si>
    <t xml:space="preserve">Opći dio </t>
  </si>
  <si>
    <t>30.</t>
  </si>
  <si>
    <t>Ministarstvo prosvjete... - Osn.škola Ruđera Boškovića u Donjoj Mahali</t>
  </si>
  <si>
    <t>2.</t>
  </si>
  <si>
    <t>Prihodi, primici i financiranje</t>
  </si>
  <si>
    <t>31.</t>
  </si>
  <si>
    <t>Ministarstvo prosvjete... - Osnovna škola Fra Ilije Starčevića u Tolisi</t>
  </si>
  <si>
    <t>3.</t>
  </si>
  <si>
    <t>Rashodi i izdaci</t>
  </si>
  <si>
    <t>32.</t>
  </si>
  <si>
    <t>Ministarstvo prosvjete... - Osnovna škola Stjepana Radića u Boku</t>
  </si>
  <si>
    <t>4.</t>
  </si>
  <si>
    <t>Posebni dio</t>
  </si>
  <si>
    <t>33.</t>
  </si>
  <si>
    <t>Ministarstvo prosvjete.. - Osnovna škola Antuna Gustava Matoša u Vidovicama</t>
  </si>
  <si>
    <t>5.</t>
  </si>
  <si>
    <t>Skupština Županije Posavske</t>
  </si>
  <si>
    <t>34.</t>
  </si>
  <si>
    <t>Ministarstvo prosvjete... - Osnovna škola Braće Radića u Domaljevcu</t>
  </si>
  <si>
    <t>6.</t>
  </si>
  <si>
    <t>Vlada Županije Posavske</t>
  </si>
  <si>
    <t>35.</t>
  </si>
  <si>
    <t>Ministarstvo branitelja Županije Posavske</t>
  </si>
  <si>
    <t>7.</t>
  </si>
  <si>
    <t>Vlada ŽP - Ured za zakonodavstvo Vlade Županije Posavske</t>
  </si>
  <si>
    <t>36.</t>
  </si>
  <si>
    <t>Agencija za privatizaciju u Županiji Posavskoj</t>
  </si>
  <si>
    <t>8.</t>
  </si>
  <si>
    <t>Vlada ŽP - Služba za odnose s javnošću Vlade Županije Posavske</t>
  </si>
  <si>
    <t>37.</t>
  </si>
  <si>
    <t>Županijska uprava civilne zaštite</t>
  </si>
  <si>
    <t>9.</t>
  </si>
  <si>
    <t>Vlada ŽP - Ured za razvoj, europske integracije i borbu protiv korupcije ŽP</t>
  </si>
  <si>
    <t>38.</t>
  </si>
  <si>
    <t>Kantonalni sud Odžak</t>
  </si>
  <si>
    <t>10.</t>
  </si>
  <si>
    <t>Vlada ŽP - Ured za obnovu, stambeno zbrinjavanje i raseljene osobe Vlade ŽP</t>
  </si>
  <si>
    <t>39.</t>
  </si>
  <si>
    <t>Županijsko pravobraniteljstvo</t>
  </si>
  <si>
    <t>11.</t>
  </si>
  <si>
    <t>Zajednička služba Vlade Županije Posavske</t>
  </si>
  <si>
    <t>40.</t>
  </si>
  <si>
    <t>Kantonalno tužiteljstvo Posavskog kantona Orašje</t>
  </si>
  <si>
    <t>12.</t>
  </si>
  <si>
    <t>Ministarstvo unutarnjih poslova Županije Posavske</t>
  </si>
  <si>
    <t>41.</t>
  </si>
  <si>
    <t>Županijska uprava za inspekcijske poslove</t>
  </si>
  <si>
    <t>13.</t>
  </si>
  <si>
    <t>Ministarstvo pravosuđa i uprave Županije Posavske</t>
  </si>
  <si>
    <t>42.</t>
  </si>
  <si>
    <t>Izmjene i dopune Proračuna ŽP za 2024.g.(po korisn.i ek.klasifikaciji izdataka)</t>
  </si>
  <si>
    <t>14.</t>
  </si>
  <si>
    <t>Ministarstvo pravosuđa i uprave ŽP - Općinski sud u Orašju</t>
  </si>
  <si>
    <t>43.</t>
  </si>
  <si>
    <t>Planirani broj zaposlenih u 2024.godini</t>
  </si>
  <si>
    <t>15.</t>
  </si>
  <si>
    <t>Ministarstvo pravosuđa i uprave ŽP - Općinsko pravobraniteljstvo Orašje</t>
  </si>
  <si>
    <t>44.</t>
  </si>
  <si>
    <t>Funkc.klasifik.rashoda i izdataka Izmjena i dopuna Proračuna ŽP za 2024.g.</t>
  </si>
  <si>
    <t>16.</t>
  </si>
  <si>
    <t>Ministarstvo pravosuđa i uprave ŽP - Općinsko pravobraniteljstvo Odžak</t>
  </si>
  <si>
    <t>45.</t>
  </si>
  <si>
    <t>Izdaci za nabavku stalnih sredstava za 2024.g.(po pror.korisn.i izv.financiranja)</t>
  </si>
  <si>
    <t>17.</t>
  </si>
  <si>
    <t>Ministarstvo pravosuđa i uprave ŽP - Žup.Zavod za pružanje prav.pomoći</t>
  </si>
  <si>
    <t>46.</t>
  </si>
  <si>
    <t>Završne odredbe</t>
  </si>
  <si>
    <t>18.</t>
  </si>
  <si>
    <t>Ministarstvo pravosuđa i uprave ŽP - Županijski arhiv</t>
  </si>
  <si>
    <t>19.</t>
  </si>
  <si>
    <t>Ministarstvo gospodarstva, rada i prostornog uređenja Žup.Posavske</t>
  </si>
  <si>
    <t>20.</t>
  </si>
  <si>
    <t>Ministarstvo financija Županije Posavske</t>
  </si>
  <si>
    <t>21.</t>
  </si>
  <si>
    <t>Ministarstvo zdravstva i socijalne politike Županije Posavske</t>
  </si>
  <si>
    <t>22.</t>
  </si>
  <si>
    <t>Ministarstvo prometa, veza i zaštite okoliša Županije Posavske</t>
  </si>
  <si>
    <t>23.</t>
  </si>
  <si>
    <t>Ministarstvo poljoprivrede, vodoprivrede i šumarstva Žup.Posavske</t>
  </si>
  <si>
    <t>24.</t>
  </si>
  <si>
    <t>Ministarstvo prosvjete, znanosti, kulture i sporta Županije Posavske</t>
  </si>
  <si>
    <t>25.</t>
  </si>
  <si>
    <t>Ministarstvo prosvjete... - Srednja škola Pere Zečevića u Odžaku</t>
  </si>
  <si>
    <t>26.</t>
  </si>
  <si>
    <t>Ministarstvo prosvjete... - Školski centar Fra Martina Nedića u Orašju</t>
  </si>
  <si>
    <t>27.</t>
  </si>
  <si>
    <t>Ministarstvo prosvjete... - Srednja strukovna škola Orašje u Orašju</t>
  </si>
  <si>
    <t>28.</t>
  </si>
  <si>
    <t>Ministarstvo prosvjete... - Osnovna škola Orašje u Orašju</t>
  </si>
  <si>
    <t>29.</t>
  </si>
  <si>
    <t>Ministarstvo prosvjete... - Osnovna škola Vladimira Nazora u Odžaku</t>
  </si>
  <si>
    <t>IZMJENE I DOPUNE PRORAČUNA ŽUPANIJE POSAVSKE</t>
  </si>
  <si>
    <t>za 2024. godinu</t>
  </si>
  <si>
    <t>I  OPĆI DIO</t>
  </si>
  <si>
    <t>Članak 1.</t>
  </si>
  <si>
    <t xml:space="preserve">     U Proračunu Županije Posavske za 2024. godinu ("Narodne novine Županije Posavske", broj: 20/23) članak 1. mijenja se i glasi: </t>
  </si>
  <si>
    <t>Proračun Županije Posavske za 2024.godinu sastoji se od:</t>
  </si>
  <si>
    <t>Ekonomski 
kod</t>
  </si>
  <si>
    <t>PRORAČUN za 
2024.godinu (NN ŽP 20/23)</t>
  </si>
  <si>
    <t>Povećanje/smanjenje Proračuna za 2024.g.</t>
  </si>
  <si>
    <t>Izvršenje PRORAČUNA za 
01.01.-30.06.24.g</t>
  </si>
  <si>
    <t>Izmjene i dopune PRORAČUNA za 
2024.g.</t>
  </si>
  <si>
    <t>INDEKS</t>
  </si>
  <si>
    <t>6=5/3</t>
  </si>
  <si>
    <t xml:space="preserve">   1. PRORAČUNSKI PRIHODI (1.1.+1.2.+1.3.+1.4.+1.5.)</t>
  </si>
  <si>
    <t xml:space="preserve">     1.1.  Prihodi od poreza</t>
  </si>
  <si>
    <t xml:space="preserve">     1.2.  Neporezni prihodi</t>
  </si>
  <si>
    <t xml:space="preserve">     1.3.  Tekući grantovi (grantovi i donacije)</t>
  </si>
  <si>
    <t xml:space="preserve">     1.4.  Kapitalni grantovi</t>
  </si>
  <si>
    <t xml:space="preserve">     1.5.  Prihodi po osnovi zaostalih obveza</t>
  </si>
  <si>
    <t xml:space="preserve">   2. PRORAČUNSKI RASHODI (2.1.+2.2.)</t>
  </si>
  <si>
    <t xml:space="preserve">     2.1.  Rashodi - Tekuća pričuva</t>
  </si>
  <si>
    <t xml:space="preserve">     2.2.  Plaće i naknade troškova zaposlenih</t>
  </si>
  <si>
    <t xml:space="preserve">     2.3.  Doprinosi poslodavca i ostali doprinosi</t>
  </si>
  <si>
    <t xml:space="preserve">     2.4.  Izdaci za materijal, sitan inventar i usluge</t>
  </si>
  <si>
    <t xml:space="preserve">     2.5.  Tekući grantovi i drugi tekući rashodi</t>
  </si>
  <si>
    <t xml:space="preserve">     2.6.  Kapitalni grantovi</t>
  </si>
  <si>
    <t xml:space="preserve">     2.7.  Izdaci za kamate</t>
  </si>
  <si>
    <t xml:space="preserve">   3. TEKUĆA BILANCA (1-2)</t>
  </si>
  <si>
    <t xml:space="preserve">   4. PRIMICI OD PRODAJE NEFINANCIJSKE IMOVINE</t>
  </si>
  <si>
    <t xml:space="preserve">   5. IZDACI ZA NABAVKU NEFINANCIJSKE IMOVINE</t>
  </si>
  <si>
    <t xml:space="preserve">       5.1.  Izdaci za nabavku stalnih sredstava</t>
  </si>
  <si>
    <t xml:space="preserve">   6. NETO NABAVKA NEFINANCIJSKE IMOVINE (4-5)</t>
  </si>
  <si>
    <t xml:space="preserve">   7. UKUPAN SUFICIT/DEFICIT (3+6)</t>
  </si>
  <si>
    <t xml:space="preserve">   8. PRIMICI OD FINANCIJSKE IMOVINE I ZADUŽIVANJA</t>
  </si>
  <si>
    <t>813, 814, 815</t>
  </si>
  <si>
    <t xml:space="preserve">   9. IZDACI ZA NABAVKU FINANCIJSKE IMOVINE I OTPLATE DUGOVA</t>
  </si>
  <si>
    <t>822, 823</t>
  </si>
  <si>
    <t xml:space="preserve">       9.1.  Izdaci za otplate dugova</t>
  </si>
  <si>
    <t xml:space="preserve">   10. NETO FINANCIRANJE (8-9)</t>
  </si>
  <si>
    <t xml:space="preserve">   11. UKUPAN FINANCIJSKI REZULTAT (7+10)</t>
  </si>
  <si>
    <t xml:space="preserve">   12. DIO AKUMULIRANOG SUFICITA IZ PRETHODNOG RAZDOBLJA</t>
  </si>
  <si>
    <t xml:space="preserve">   UKUPNO PRIHODI, PRIMICI I FINANCIRANJE I DIO AKUMULIRANOG 
   SUFICITA IZ PRETHODNOG RAZDOBLJA</t>
  </si>
  <si>
    <t xml:space="preserve">   UKUPNO RASHODI I IZDACI</t>
  </si>
  <si>
    <t xml:space="preserve">   UKUPNI FINANCIJSKI REZULTAT</t>
  </si>
  <si>
    <t>Članak 2.</t>
  </si>
  <si>
    <t xml:space="preserve">     Članak 2. Proračuna mijenja se i glasi:</t>
  </si>
  <si>
    <t>"Prihodi, primici i financiranje" i "Rashodi i izdaci" po grupama utvrđuju se u Računu prihoda i rashoda za 2024.godinu kako slijedi:</t>
  </si>
  <si>
    <t>I - PRIHODI, PRIMICI I FINANCIRANJE</t>
  </si>
  <si>
    <t>Ekonomski kod</t>
  </si>
  <si>
    <t>OPIS</t>
  </si>
  <si>
    <t>PRORAČUN za 2024. (NN ŽP 20/23)</t>
  </si>
  <si>
    <t>Povećanje/ smanjenje Proračuna za 2024.g.</t>
  </si>
  <si>
    <t>Izvršenje Proračuna 01.01.-30.06.24.</t>
  </si>
  <si>
    <t>Izmjene i dopune PRORAČUNA za 2024.g.</t>
  </si>
  <si>
    <t>7=6/4</t>
  </si>
  <si>
    <t>I PRIHODI OD POREZA</t>
  </si>
  <si>
    <t>1.Porez na dobit pojedinaca i poduzeća</t>
  </si>
  <si>
    <t xml:space="preserve">   Porezi na dobit pojedinaca (zaostale uplate poreza)</t>
  </si>
  <si>
    <t xml:space="preserve">   Porez na dobit od gospodarskih i profesionalnih djelatnosti</t>
  </si>
  <si>
    <t xml:space="preserve">   Porez na dobit od poljoprivrednih djelatnosti</t>
  </si>
  <si>
    <t xml:space="preserve">   Porez na temelju autorskih prava, patenata i tehn.unapređenja</t>
  </si>
  <si>
    <t xml:space="preserve">   Porez na ukupan prihod fizičkih osoba</t>
  </si>
  <si>
    <t xml:space="preserve">   Porez na prihod od imovine i imovinskih prava</t>
  </si>
  <si>
    <t xml:space="preserve">   Porez na dobit poduzeća</t>
  </si>
  <si>
    <t xml:space="preserve">   Porez na dobit</t>
  </si>
  <si>
    <t xml:space="preserve">   Porez po odbitku</t>
  </si>
  <si>
    <t>2.Porezi na plaću i radnu snagu (zaostale uplate poreza)</t>
  </si>
  <si>
    <t xml:space="preserve">   Porezi na plaće (zaostale uplate poreza)</t>
  </si>
  <si>
    <t xml:space="preserve">   Porezi na plaću i druga osobna primanja</t>
  </si>
  <si>
    <t xml:space="preserve">   Porezi na dodatna primanja</t>
  </si>
  <si>
    <t>3.Porez na imovinu</t>
  </si>
  <si>
    <t xml:space="preserve">   Porez na imovinu</t>
  </si>
  <si>
    <t xml:space="preserve">   Porez na imovinu od fizičkih osoba</t>
  </si>
  <si>
    <t xml:space="preserve">   Porez na imovinu od pravnih osoba</t>
  </si>
  <si>
    <t xml:space="preserve">   Porez na imovinu za motorna vozila</t>
  </si>
  <si>
    <t xml:space="preserve">   Porez na naslijeđe i darove</t>
  </si>
  <si>
    <t xml:space="preserve">   Porez na promet nepokretnosti - fizičkih osoba</t>
  </si>
  <si>
    <t xml:space="preserve">   Porez na promet nepokretnosti - pravnih osoba</t>
  </si>
  <si>
    <t>4.Domaći porezi na dobra i usluge (zaostale obveze na 
   temelju poreza na promet dobara i usluga)</t>
  </si>
  <si>
    <t xml:space="preserve">   Porezi na prodaju dobara i usluga, ukupni promet ili 
   dodanu vrijednost</t>
  </si>
  <si>
    <t xml:space="preserve">   Porez na promet proizvoda (opća stopa od 20%)</t>
  </si>
  <si>
    <t xml:space="preserve">   Porez na promet proizvoda (niža stopa)</t>
  </si>
  <si>
    <t xml:space="preserve">   Kaznena kamata</t>
  </si>
  <si>
    <t xml:space="preserve">   Porez na promet usluga, osim usluga u građevinarstvu</t>
  </si>
  <si>
    <t xml:space="preserve">   Porez na promet posebnih usluga</t>
  </si>
  <si>
    <t xml:space="preserve">   Porez na dobitke od igara na sreću</t>
  </si>
  <si>
    <t xml:space="preserve">   Ostali porezi na promet proizvoda i usluga</t>
  </si>
  <si>
    <t xml:space="preserve">   Porez na promet osnovnih proizvoda poljoprivrede, ribarstva i proizvoda koji služe za
   ljudsku prehranu</t>
  </si>
  <si>
    <t>5.Porez na dohodak</t>
  </si>
  <si>
    <t xml:space="preserve">   Porez na dohodak</t>
  </si>
  <si>
    <t xml:space="preserve">   Prihodi od poreza na dohodak fiz.osoba od nesam.djelatnosti</t>
  </si>
  <si>
    <t xml:space="preserve">   Prihodi od poreza na dohodak fizi.osoba od samost.djelatnosti</t>
  </si>
  <si>
    <t xml:space="preserve">   Prihodi od poreza na dohodak fiz.os.od imovine i imov.prava</t>
  </si>
  <si>
    <t xml:space="preserve">   Prihodi od poreza na dohodak fiz.osoba od ulaganja kapitala</t>
  </si>
  <si>
    <t xml:space="preserve">   Prihodi od poreza na dohodak fizičkih osoba na dobitke od nagradnih igara i igara 
   na sreću</t>
  </si>
  <si>
    <t xml:space="preserve">   Prihodi od poreza na dohodak od dr.samostalnih djelatnosti</t>
  </si>
  <si>
    <t xml:space="preserve">   Prihodi od poreza na dohodak po konačnom obračunu</t>
  </si>
  <si>
    <t>6.Prihodi od neizravnih poreza</t>
  </si>
  <si>
    <t xml:space="preserve">   Prihodi od neizravnih poreza</t>
  </si>
  <si>
    <t xml:space="preserve">   Prihodi od neizravnih poreza na ime financ.autocesta u FBiH</t>
  </si>
  <si>
    <r>
      <t xml:space="preserve">    o/t Prihodi od neizravnih poreza na ime financ.autocesta u FBiH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</si>
  <si>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o/t Prihodi od neizravnih poreza na ime financ.autocesta u FBiH</t>
  </si>
  <si>
    <t xml:space="preserve">   Prihodi od neizravnih poreza koji pripadaju županijama</t>
  </si>
  <si>
    <t xml:space="preserve">   Prihodi od neizravnih poreza koji pripadaju Direkciji cesta</t>
  </si>
  <si>
    <r>
      <t xml:space="preserve">    o/t Prihodi od neizravnih poreza koji pripadaju Direkciji cesta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</si>
  <si>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o/t Prihodi od neizravnih poreza koji pripadaju Direkciji cesta</t>
  </si>
  <si>
    <t>7.Ostali porezi</t>
  </si>
  <si>
    <t xml:space="preserve">   Ostali porezi</t>
  </si>
  <si>
    <t xml:space="preserve">   Pos.porez na plaću za zašt.od prir.i dr.nesr.(zaost.obveze)</t>
  </si>
  <si>
    <t xml:space="preserve">   Poseban porez za zaštitu od prirodnih i drugih nesreća po osnovi ugovora o djelu i 
   povr.i privr.poslova (zaostale obveze)</t>
  </si>
  <si>
    <t>II NEPOREZNI PRIHODI</t>
  </si>
  <si>
    <t>1.Prihodi od poduzetničkih aktivnosti i imovine i prihodi od pozitivnih tečajnih razlika</t>
  </si>
  <si>
    <t xml:space="preserve">   Prihodi od nefinanc.jav.poduzeća i financ.jav.institucija</t>
  </si>
  <si>
    <t xml:space="preserve">   Prihodi od davanja prava na eksploataciju prirodnih resursa</t>
  </si>
  <si>
    <t xml:space="preserve">   Prihodi od iznajmljivanja zemljišta</t>
  </si>
  <si>
    <t xml:space="preserve">   Prihodi od iznajmljivanja vozila</t>
  </si>
  <si>
    <t xml:space="preserve">   Ostali prihodi od imovine</t>
  </si>
  <si>
    <t xml:space="preserve">   Prihodi od kamate za depozite u banci</t>
  </si>
  <si>
    <t xml:space="preserve">   Prihodi po osnovi kamata na investirana javna sredstva</t>
  </si>
  <si>
    <t xml:space="preserve">   Prihodi od zakupa javnog vodnog dobra na površ.vodama I kateg.</t>
  </si>
  <si>
    <t xml:space="preserve">   Prihodi od zakupa korištenja sportsko-gospodarskih lovišta</t>
  </si>
  <si>
    <t xml:space="preserve">   Kamata i divid.primljene od pozajmica i udj.u kapitalu</t>
  </si>
  <si>
    <t xml:space="preserve">   Kamate primljene od pozajmica Državi</t>
  </si>
  <si>
    <t xml:space="preserve">   Kamate primljene od pozajmica Federaciji</t>
  </si>
  <si>
    <t xml:space="preserve">   Prihodi od pozitivnih tečajnih razlika</t>
  </si>
  <si>
    <t xml:space="preserve">   Prihodi od privatizacije</t>
  </si>
  <si>
    <t xml:space="preserve">   Prihodi od privatizacije poduzeća</t>
  </si>
  <si>
    <t xml:space="preserve">   Prihodi po osnovi premije i provizije za izdano jamstvo</t>
  </si>
  <si>
    <t xml:space="preserve">   Prihodi po osnovi obračunate provizije za izdano jamstvo</t>
  </si>
  <si>
    <t xml:space="preserve">2.Naknade i pristojbe i prihodi od pružanja javnih usluga </t>
  </si>
  <si>
    <t xml:space="preserve">   Administrativne pristojbe</t>
  </si>
  <si>
    <t xml:space="preserve">   Županijske administrativne pristojbe</t>
  </si>
  <si>
    <t xml:space="preserve">   Sudske pristojbe</t>
  </si>
  <si>
    <t xml:space="preserve">   Županijske sudske pristojbe</t>
  </si>
  <si>
    <t xml:space="preserve">   Ostale proračunske naknade</t>
  </si>
  <si>
    <t xml:space="preserve">   Županijske naknade</t>
  </si>
  <si>
    <t xml:space="preserve">   Naknade za korištenje poljopr.zemljišta u nepoljopr.svrhe</t>
  </si>
  <si>
    <r>
      <t xml:space="preserve">      19010001 Minist.poljopr., vodoprivrede i šumarstva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</si>
  <si>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  19010001 Minist.poljopr., vodoprivrede i šumarstva</t>
  </si>
  <si>
    <t xml:space="preserve">   Naknada za obavljeni tehn.pregl.vozila koja pripada županijama</t>
  </si>
  <si>
    <t xml:space="preserve">   Ostale županijske naknade</t>
  </si>
  <si>
    <t xml:space="preserve">   Naknade za korištenje šuma</t>
  </si>
  <si>
    <t xml:space="preserve">   Naknada za opće korisne funkcije šuma</t>
  </si>
  <si>
    <t xml:space="preserve">   Naknada za korištenje državnih šuma</t>
  </si>
  <si>
    <t xml:space="preserve">   Naknade za korištenje, zaštitu i unapređenje šuma 
   utvrđene županijskim propisima</t>
  </si>
  <si>
    <t xml:space="preserve">   Naknada za opće korisne funkc.šuma utvrđene žup.propisima</t>
  </si>
  <si>
    <r>
      <t xml:space="preserve">      19010001 Minist.poljopr., vodoprivrede i šumarstva </t>
    </r>
    <r>
      <rPr>
        <b/>
        <i/>
        <sz val="10"/>
        <color indexed="8"/>
        <rFont val="Arial"/>
        <family val="2"/>
        <charset val="238"/>
      </rPr>
      <t>(razgraničenja)</t>
    </r>
  </si>
  <si>
    <t xml:space="preserve">   Naknada za obavljanje stručnih poslova u privatnim šumama 
   utvrđena županijskim propisima</t>
  </si>
  <si>
    <t xml:space="preserve">   Naknada  u postupku promjene namjene šumskog zemljišta (krčenje šuma) utvrđena 
   kantonalnim propisima</t>
  </si>
  <si>
    <t xml:space="preserve">   Ostali prih.za korišt., zaštitu i unapređ.šuma po žup.propisima</t>
  </si>
  <si>
    <t xml:space="preserve">   Naknade i pristojbe po Fed.zakonima i dr.propisima</t>
  </si>
  <si>
    <t xml:space="preserve">   Naknade i pristojbe za veterinarske i sanitarne preglede životinja i biljaka</t>
  </si>
  <si>
    <t xml:space="preserve">   Federalna naknada za uvjerenje o veterin.-zdravstvenom stanju životinja iz uvoza</t>
  </si>
  <si>
    <t xml:space="preserve">   Federalna naknada za izvršene veterinarsko-zdravstvene preglede i kontrolu u zemlji</t>
  </si>
  <si>
    <t xml:space="preserve">   Naknada za korištenje podataka premjera i katastra</t>
  </si>
  <si>
    <t xml:space="preserve">   Naknada za vršenje usluga iz oblasti premjera i katastra</t>
  </si>
  <si>
    <t xml:space="preserve">   Vodne naknade</t>
  </si>
  <si>
    <t xml:space="preserve">   Posebna vodna naknada za zaštitu voda za transportna sredstva koja za pogon koriste 
   naftu ili naftne derivate</t>
  </si>
  <si>
    <r>
      <t xml:space="preserve">      99999999 Riznica </t>
    </r>
    <r>
      <rPr>
        <b/>
        <i/>
        <sz val="10"/>
        <color indexed="8"/>
        <rFont val="Arial"/>
        <family val="2"/>
        <charset val="238"/>
      </rPr>
      <t>(razgraničenja)</t>
    </r>
  </si>
  <si>
    <t xml:space="preserve">      99999999 Riznica</t>
  </si>
  <si>
    <t xml:space="preserve">   Posebna vodna naknada za zaštitu voda (ispuštanje otpadnih voda, uzgoj ribe, 
   upotrebu umj.đubriva i kemik.za zašt.bilja)</t>
  </si>
  <si>
    <t xml:space="preserve">   Pos.vodna naknada za korištenje površinskih i podzemnih voda za javnu vodoopskrbu</t>
  </si>
  <si>
    <t xml:space="preserve">   Poseb.vodna naknada za korištenje površ.i podzem.voda za flaš.vode i min.vode 
   za uzgoj ribe u ribnj.za navod.i dr.namj.</t>
  </si>
  <si>
    <t xml:space="preserve">   Posebna vodna naknada za korištenje površ..i podzemnih voda za industrijske procese, 
   uključujući i termoelektrane</t>
  </si>
  <si>
    <t xml:space="preserve">   Posebna vodna naknada za korištenje vode za proizvodnju električne energije</t>
  </si>
  <si>
    <t xml:space="preserve">   Posebna vodna naknada za vađenje materijala iz vodotoka</t>
  </si>
  <si>
    <t xml:space="preserve">   Posebna vodna naknada za zaštitu od poplava</t>
  </si>
  <si>
    <t xml:space="preserve">   Opća vodna naknada</t>
  </si>
  <si>
    <t xml:space="preserve">   Cestovne naknade</t>
  </si>
  <si>
    <t xml:space="preserve">   Naknada za uporabu cesta za vozila pravnih osoba</t>
  </si>
  <si>
    <t xml:space="preserve">   Naknada za uporabu cesta za vozila građana</t>
  </si>
  <si>
    <t xml:space="preserve">   Posebna naknada za službu "Pomoć informacije na cestama"</t>
  </si>
  <si>
    <t xml:space="preserve">   Naknada za korištenje cestovnog zemljišta</t>
  </si>
  <si>
    <t xml:space="preserve">   Naknada za postavljanje reklamnih panoa</t>
  </si>
  <si>
    <t xml:space="preserve">   Zaostale obveze po osnovi naknada za korištenje šuma</t>
  </si>
  <si>
    <t xml:space="preserve">   Naknada za korištenje općekorisnih funkcija šuma</t>
  </si>
  <si>
    <t xml:space="preserve">   Naknada za zaštitu okoliša</t>
  </si>
  <si>
    <t xml:space="preserve">   Naknada zagađivača okoliša pravnih osoba</t>
  </si>
  <si>
    <t xml:space="preserve">   Naknada zagađivača okoliša fizičkih osoba</t>
  </si>
  <si>
    <t xml:space="preserve">   Naknada korisnika okoliša fizičkih osoba</t>
  </si>
  <si>
    <t xml:space="preserve">   Posebne naknade za okoliš koje plaćaju pravne osobe pri svakoj registraciji 
   motornih vozila</t>
  </si>
  <si>
    <t xml:space="preserve">   Posebne naknade za okoliš koje plaćaju fizičke osobe pri svakoj registraciji 
   motornih vozila</t>
  </si>
  <si>
    <t xml:space="preserve">   Posebne naknade za zaštitu od prirodnih i dr.nesreća</t>
  </si>
  <si>
    <t xml:space="preserve">   Posebna naknada za zaštitu od prirodnih i drugih nesreća gdje je osnovica 
   sumarni iznos neto plaće za isplatu</t>
  </si>
  <si>
    <r>
      <t xml:space="preserve">      23010001 Uprava za civilnu zaštitu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</si>
  <si>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  23010001 Uprava za civilnu zaštitu</t>
  </si>
  <si>
    <t xml:space="preserve">   Posebna naknada za zaštitu od prir.i drugih nesreća gdje je osnovica sumarni iznos 
   neto prim.po osnovi dr.samostalne djelatnosti i povremenog samostalnog rada</t>
  </si>
  <si>
    <t xml:space="preserve">   Naknada za vatrogasne jedinice iz premije osiguranja imovine od požara i prirodnih sila</t>
  </si>
  <si>
    <t xml:space="preserve">   Naknada iz funkcionalne premije osiguranja od autoodgovornosti za vatrogasne jedinice</t>
  </si>
  <si>
    <t xml:space="preserve">   Naknada za zajedničke profesionalne vatrogasne jedinice iz premije osiguranja imovine 
   od požara i prirodnih sila</t>
  </si>
  <si>
    <t xml:space="preserve">   Naknada za zajedničke profesionalne vatrogasne jedinice iz funkcionalne premije 
   osiguranja motornih vozila</t>
  </si>
  <si>
    <t xml:space="preserve">   Prihodi od pružanja javnih usluga</t>
  </si>
  <si>
    <t xml:space="preserve">   Prihodi od pružanja usluga građanima</t>
  </si>
  <si>
    <t xml:space="preserve">   Prihodi od pružanja usluga pravnim osobama</t>
  </si>
  <si>
    <t xml:space="preserve">   Prihodi od pružanja usluga drugima</t>
  </si>
  <si>
    <t xml:space="preserve">   Prihodi od pružanja usluga drugim razinama vlasti</t>
  </si>
  <si>
    <t xml:space="preserve">   Vlastiti prihodi proračunskih korisnika</t>
  </si>
  <si>
    <t xml:space="preserve">   Prihodi od mjenice</t>
  </si>
  <si>
    <t xml:space="preserve">   Prihodi od prodanih pristojbenih biljega</t>
  </si>
  <si>
    <t xml:space="preserve">   Vlastiti prihodi od iznajmljivanja opreme</t>
  </si>
  <si>
    <t xml:space="preserve">   Vlastiti javni prihodi od prodaje usluga, pristupa i korištenja</t>
  </si>
  <si>
    <t xml:space="preserve">   Vlastiti javni prihodi od oglašavanja proizvoda i usluga</t>
  </si>
  <si>
    <t xml:space="preserve">   Vlastiti javni prihodi od distrib.i prodaje pisanih, foto i video publik.i materijala, obrazaca </t>
  </si>
  <si>
    <t xml:space="preserve">   Vlastiti javni prihodi od pružanja usluga cikličnog obrazovanja, škole u prirodi, 
   produženog boravka u školama, školarina, upisnina i sl.</t>
  </si>
  <si>
    <t xml:space="preserve">    o/č 20030001 OŠ Orašje</t>
  </si>
  <si>
    <t xml:space="preserve">    o/č 20030002 OŠ Odžak</t>
  </si>
  <si>
    <t xml:space="preserve">   Vlastiti javni prihodi od ostalih aktivnosti</t>
  </si>
  <si>
    <t xml:space="preserve">   Neplanirane uplate - prihodi</t>
  </si>
  <si>
    <t xml:space="preserve">   Povrat invalidnina iz ranijih godina</t>
  </si>
  <si>
    <t xml:space="preserve">   Povrati naknada troškova zaposlenih</t>
  </si>
  <si>
    <t xml:space="preserve">   Ostali povrati</t>
  </si>
  <si>
    <t xml:space="preserve">   Prihodi od trošk.naplate po osn.pokret.postupka prin.naplate</t>
  </si>
  <si>
    <t xml:space="preserve">   Naplate premija osiguranja</t>
  </si>
  <si>
    <t xml:space="preserve">   Ostale neplanirane uplate</t>
  </si>
  <si>
    <t>3.Novčane kazne</t>
  </si>
  <si>
    <t xml:space="preserve">   Novčane kazne</t>
  </si>
  <si>
    <t xml:space="preserve">   Novčane kazne po županijskim propisima</t>
  </si>
  <si>
    <t xml:space="preserve">   Ostale kazne</t>
  </si>
  <si>
    <r>
      <t xml:space="preserve">    o/č 20030001 OŠ Orašje</t>
    </r>
    <r>
      <rPr>
        <b/>
        <i/>
        <sz val="10"/>
        <rFont val="Arial"/>
        <family val="2"/>
        <charset val="238"/>
      </rPr>
      <t xml:space="preserve"> (razgr.)</t>
    </r>
  </si>
  <si>
    <t xml:space="preserve">   Novčane kazne za prekršaje koje su registrirane u registru novčanih kazni i troškovi 
   prekršajnog postupka</t>
  </si>
  <si>
    <t xml:space="preserve">   Ostali prihodi</t>
  </si>
  <si>
    <t xml:space="preserve">   Prihodi od imovinske koristi pribavljeni kaznenim djelom u skladu s čl.115 Kaznenog 
   zakona FBiH</t>
  </si>
  <si>
    <t>UKUPNO POREZNI I NEPOREZNI PRIHODI (I+II)</t>
  </si>
  <si>
    <t>III TEKUĆI GRANTOVI (GRANTOVI I DONACIJE)</t>
  </si>
  <si>
    <t>1. Primljeni tekući grantovi od inozemnih vlada i međunarodnih organizacija</t>
  </si>
  <si>
    <t xml:space="preserve">   Primljeni tekući grantovi od inoz.vlada i međ.organizacija</t>
  </si>
  <si>
    <t xml:space="preserve">   Primljeni tekući grantovi od inozemnih vlada</t>
  </si>
  <si>
    <t xml:space="preserve">   Primljeni tekući grantovi od međunarodnih organizacija</t>
  </si>
  <si>
    <r>
      <t xml:space="preserve">      27010001 Kant.tužiteljstvo - IPA </t>
    </r>
    <r>
      <rPr>
        <b/>
        <i/>
        <sz val="10"/>
        <color rgb="FF000000"/>
        <rFont val="Arial"/>
        <family val="2"/>
        <charset val="238"/>
      </rPr>
      <t>(razgr.)</t>
    </r>
  </si>
  <si>
    <t xml:space="preserve">      27010001 Kant.tužiteljstvo - IPA  2023</t>
  </si>
  <si>
    <t>2. Primljeni tekući grantovi od ostalih razina vlasti</t>
  </si>
  <si>
    <t xml:space="preserve">   Primljeni tekući grantovi od ostalih razina vlasti i fondova</t>
  </si>
  <si>
    <t xml:space="preserve">   Primljeni tekući grantovi od ostalih razina vlasti</t>
  </si>
  <si>
    <t xml:space="preserve">   Primljeni tekući grantovi od Države</t>
  </si>
  <si>
    <t xml:space="preserve">   Primljeni tekući grantovi od FBiH</t>
  </si>
  <si>
    <r>
      <t xml:space="preserve">           o/t 50% za provođenje strukturalnih reformi </t>
    </r>
    <r>
      <rPr>
        <b/>
        <i/>
        <sz val="10"/>
        <color indexed="8"/>
        <rFont val="Arial"/>
        <family val="2"/>
        <charset val="238"/>
      </rPr>
      <t>(razgraničenja)</t>
    </r>
  </si>
  <si>
    <r>
      <t xml:space="preserve">           o/t 50% za financ./sufinancir.infrastrukturnih projekata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</si>
  <si>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Grantovi od izvanproračunskih fondova</t>
  </si>
  <si>
    <t xml:space="preserve">   Grant od Federalnog zavoda za zapošljavanje - pripravnici</t>
  </si>
  <si>
    <t xml:space="preserve">   Grant od Federalnog zavoda za zapošljavanje - škole</t>
  </si>
  <si>
    <t>3. Donacije</t>
  </si>
  <si>
    <t xml:space="preserve">   Donacije</t>
  </si>
  <si>
    <t xml:space="preserve">   Domaće donacije</t>
  </si>
  <si>
    <t xml:space="preserve">   Donacije iz inozemstva</t>
  </si>
  <si>
    <t>IV KAPITALNI GRANTOVI</t>
  </si>
  <si>
    <t>1. Primljeni kapitalni grantovi od inozemnih vlada i međunarodnih organizacija</t>
  </si>
  <si>
    <t xml:space="preserve">   Primljeni kapitalni grantovi od inozemnih vlada i međunarodnih organizacija</t>
  </si>
  <si>
    <t xml:space="preserve">   Primljeni kapitalni grantovi od inozemnih vlada</t>
  </si>
  <si>
    <t xml:space="preserve">      11010001 Vlada Županije Posavske - Središnji državni ured za Hrvate izvan RH -
      Druga faza izgradnje Vatrogasnog doma (2024)</t>
  </si>
  <si>
    <t xml:space="preserve">      15010001 Ministarstvo gospodarstva, rada i prostornog uređenja ŽP - Ministarstvo 
      regionalnog razvoja i fondova EU RH - Igranje danas, planiranje za sutra: Dječje 
      igralište i zajednička vizija plinske budućnosti (2024)</t>
  </si>
  <si>
    <t xml:space="preserve">      20010001 Ministarstvo prosvjete, znanosti, kulture i sporta - Središnji 
      državni ured za Hrvate izvan RH - Sufinanciranje zamjene sustava 
      centralnog grijanja u objektu sport.dvorane SŠ P.Zečevića (2022)</t>
  </si>
  <si>
    <t xml:space="preserve">      20030003 OŠ R.Boškovića u D.Mahali - Minist.regionalnog razvoja i fondova EU RH - 
      Iz produženog boravka u vanjsku učionicu (2024)</t>
  </si>
  <si>
    <t xml:space="preserve">      20030005 OŠ S.Radića u Boku - Ministarstvo regionalnog razvoja i fondova EU RH - 
      Mostovi rasta (2024)</t>
  </si>
  <si>
    <t xml:space="preserve">      20030006 OŠ A.G.Matoša u Vidovicama - Središnji državni ured za Hrvate izvan RH - 
      Betoniranje/asfaltiranje prilazne staze za učenike prema zgradi škole (2024)</t>
  </si>
  <si>
    <t xml:space="preserve">      20030007 OŠ Braće Radića u Domaljevcu - Središnji državni ured za 
      Hrvate izvan RH - Opremanje defektološkog kabineta (2023)</t>
  </si>
  <si>
    <t>2. Kapitalni grantovi od ostalih razina vlasti</t>
  </si>
  <si>
    <t xml:space="preserve">   Kapitalni grantovi od ostalih razina vlasti i fondova</t>
  </si>
  <si>
    <t xml:space="preserve">   Primljeni kapitalni grantovi od Federacije</t>
  </si>
  <si>
    <t xml:space="preserve">      11010001 Vlada Županije Posavske - Feder.ministarstvo prometa i  komunikacija-
      Sanacija regionalnih cesta u Posavskom kantonu (2023.) - refundacija</t>
  </si>
  <si>
    <t xml:space="preserve">      18010001 Ministarstvo prometa, veza i zaštite okoliša - Feder.ministarstvo raseljenih 
      osoba i izbjeglica - Sanacija i rekonstrukcija lokalnih cesta na području Općine 
      Odžak - Omladinska ulica" (2023) - razgraničenja</t>
  </si>
  <si>
    <t xml:space="preserve">      18010001 Ministarstvo prometa, veza i zaštite okoliša - Federalno ministarstvo okoliša 
      i turizma - Izrada stručnih obrazloženja za proglašenje bare Tišine i bare Starače 
      zaštićenim područjem (2024)</t>
  </si>
  <si>
    <t xml:space="preserve">      18010001 Ministarstvo prometa, veza i zaštite okoliša - Feder.ministarstvo prometa 
      i komunikacija -Sanacija regionalnih cesta na području Županije Posavske (2024)</t>
  </si>
  <si>
    <t xml:space="preserve">   Kapitalni grantovi od općina</t>
  </si>
  <si>
    <t xml:space="preserve">   Kapitalni grantovi od nevladinih izvora</t>
  </si>
  <si>
    <t>V  PRIHODI PO OSNOVI ZAOSTALIH OBVEZA</t>
  </si>
  <si>
    <t xml:space="preserve">   Uplate zaostalih obveza od por.na promet visokotar.proizvoda</t>
  </si>
  <si>
    <t xml:space="preserve">   Uplate zaost.obveza od nakn.za puteve iz cijene naft.derivata</t>
  </si>
  <si>
    <t>UKUPNO PRIHODI (I+II+III+IV+V)</t>
  </si>
  <si>
    <t>VI KAPITALNI PRIMICI</t>
  </si>
  <si>
    <t>1.Kapitalni primici od prodaje stalnih sredstava</t>
  </si>
  <si>
    <t xml:space="preserve">   Kapitalni primici od prodaje stalnih sredstava</t>
  </si>
  <si>
    <t xml:space="preserve">   Primici od prodaje prometnih vozila</t>
  </si>
  <si>
    <t>UKUPNO PRIHODI, TEKUĆI I KAPITALNI GRANTOVI I PRIMICI:</t>
  </si>
  <si>
    <t xml:space="preserve">II - RASHODI I IZDACI  </t>
  </si>
  <si>
    <t>Ministarstvo
(razdjel)</t>
  </si>
  <si>
    <t>Ekon. 
kod</t>
  </si>
  <si>
    <t>Subanalitika</t>
  </si>
  <si>
    <t>Izvršenje 
Proračuna 
01.01.-30.06.24.</t>
  </si>
  <si>
    <t>iz prorač.
sredstava</t>
  </si>
  <si>
    <t>iz ostalih izvora</t>
  </si>
  <si>
    <t>UKUPNO</t>
  </si>
  <si>
    <t>8=6+7</t>
  </si>
  <si>
    <t>9=8/4</t>
  </si>
  <si>
    <t xml:space="preserve"> UKUPNI IZDACI </t>
  </si>
  <si>
    <t xml:space="preserve"> Rashodi - Tekuća pričuva</t>
  </si>
  <si>
    <t xml:space="preserve"> Tekuća pričuva Vlade</t>
  </si>
  <si>
    <t xml:space="preserve"> Tekuća pričuva predsjednika Vlade</t>
  </si>
  <si>
    <t xml:space="preserve"> Tekuća pričuva zamjenika pred. Vlade</t>
  </si>
  <si>
    <t xml:space="preserve"> Tekuća pričuva ministra financija</t>
  </si>
  <si>
    <t xml:space="preserve"> Plaće i naknade troškova zaposlenih</t>
  </si>
  <si>
    <t xml:space="preserve"> Bruto plaće i naknade plaća</t>
  </si>
  <si>
    <t xml:space="preserve"> Naknade troškova zaposlenih</t>
  </si>
  <si>
    <t xml:space="preserve"> o/č Naknade troškova zaposlenih</t>
  </si>
  <si>
    <t>BA6017</t>
  </si>
  <si>
    <t xml:space="preserve"> o/č Naknade troškova zaposlenih - volonteri</t>
  </si>
  <si>
    <t xml:space="preserve"> Doprinosi poslodavca i ostali doprinosi</t>
  </si>
  <si>
    <t xml:space="preserve"> Doprinosi poslodavca</t>
  </si>
  <si>
    <t>DA6001</t>
  </si>
  <si>
    <t xml:space="preserve"> Doprinosi za beneficirani radni staž 1996-1998</t>
  </si>
  <si>
    <t>DA6002</t>
  </si>
  <si>
    <t xml:space="preserve"> Ostali doprinosi iz ranijih razdoblja</t>
  </si>
  <si>
    <t xml:space="preserve"> Izdaci za materijal, sitan inv. i usluge</t>
  </si>
  <si>
    <t xml:space="preserve"> Putni troškovi</t>
  </si>
  <si>
    <t xml:space="preserve"> Izdaci za energiju</t>
  </si>
  <si>
    <t xml:space="preserve"> Izdaci za komunikaciju i komunalne usluge</t>
  </si>
  <si>
    <t xml:space="preserve"> Nabavka materijala i sitnog inventara</t>
  </si>
  <si>
    <t xml:space="preserve"> o/č Nabavka materijala i sitnog inventara</t>
  </si>
  <si>
    <t>KA6014</t>
  </si>
  <si>
    <t xml:space="preserve"> o/č Nabavka mat.i sitn.invent.-obroci za učenike</t>
  </si>
  <si>
    <t xml:space="preserve"> Izdaci za usluge prijevoza i goriva</t>
  </si>
  <si>
    <t xml:space="preserve"> Unajmljivanje imovine, opreme i nemat.imovine</t>
  </si>
  <si>
    <t xml:space="preserve"> Izdaci za tekuće održavanje</t>
  </si>
  <si>
    <t xml:space="preserve"> o/č Izdaci za tekuće održavanje</t>
  </si>
  <si>
    <t>IA6004</t>
  </si>
  <si>
    <t xml:space="preserve"> o/č Tekuće održavanje cesta</t>
  </si>
  <si>
    <t xml:space="preserve"> Izdaci osiguranja, bank. usluga i usluga p.p.</t>
  </si>
  <si>
    <t xml:space="preserve"> o/č Izdaci osiguranja, bank. usluga i usluga p.p.</t>
  </si>
  <si>
    <t xml:space="preserve"> o/č Izdaci za negativne tečajne razlike</t>
  </si>
  <si>
    <t xml:space="preserve"> Ugovorene i druge posebne usluge</t>
  </si>
  <si>
    <t xml:space="preserve"> o/č Ugovorene i druge posebne usluge</t>
  </si>
  <si>
    <t>EA6001</t>
  </si>
  <si>
    <t xml:space="preserve"> o/č Povjerenstva po Zakonu o drž.službenicima i namještenic.</t>
  </si>
  <si>
    <t>EA6002</t>
  </si>
  <si>
    <t xml:space="preserve"> o/č Ugovorene i dr.pos.usluge - troškovi izvršenja mjere pritvora</t>
  </si>
  <si>
    <t>GA6003</t>
  </si>
  <si>
    <t xml:space="preserve"> o/č Potpora riznici</t>
  </si>
  <si>
    <t>KA6007</t>
  </si>
  <si>
    <t xml:space="preserve"> o/č Vozački ispiti-vlastiti prihodi</t>
  </si>
  <si>
    <t xml:space="preserve"> o/č Ugovorene i druge posebne usluge-volont.rad</t>
  </si>
  <si>
    <t>BA6021</t>
  </si>
  <si>
    <t xml:space="preserve"> o/č Ugov.i dr.poseb.usluge-sufinanciranje prijema vježbenika</t>
  </si>
  <si>
    <t>FA6002</t>
  </si>
  <si>
    <t xml:space="preserve"> o/č Ugovorene i druge posebne usluge-prostorni plan</t>
  </si>
  <si>
    <t>KA6017</t>
  </si>
  <si>
    <t xml:space="preserve"> o/č Ugovorene i druge posebne usluge-obuke i seminari 
     prosvjetnih djelatnika</t>
  </si>
  <si>
    <t xml:space="preserve"> Tekući grantovi i drugi tekući rashodi</t>
  </si>
  <si>
    <t xml:space="preserve"> Tekući grantovi drugim razinama vlasti i fondovima</t>
  </si>
  <si>
    <t>BA6014</t>
  </si>
  <si>
    <t xml:space="preserve"> o/č Grant za Sveučilište u Mostaru</t>
  </si>
  <si>
    <t>FA6003</t>
  </si>
  <si>
    <t xml:space="preserve"> o/č Grant za razvoj turizma</t>
  </si>
  <si>
    <t>GA6002</t>
  </si>
  <si>
    <t xml:space="preserve"> o/č Grant nižim razinama vlasti</t>
  </si>
  <si>
    <t xml:space="preserve"> o/č Grant za zdravstvene institucije i centre za soc.rad</t>
  </si>
  <si>
    <t>IA6002</t>
  </si>
  <si>
    <t xml:space="preserve"> o/č Grant za zaštitu okoliša</t>
  </si>
  <si>
    <t>JA6008</t>
  </si>
  <si>
    <t xml:space="preserve"> o/č Grant za šumarstvo</t>
  </si>
  <si>
    <t>KA6004</t>
  </si>
  <si>
    <t xml:space="preserve">o/č Grant za financiranje visokog obrazovanja   </t>
  </si>
  <si>
    <t>614100</t>
  </si>
  <si>
    <t>KA6009</t>
  </si>
  <si>
    <t xml:space="preserve"> o/č Grant za sufinanciranje prijevoza učenika</t>
  </si>
  <si>
    <t>NA6005</t>
  </si>
  <si>
    <t xml:space="preserve"> o/č Grant nižim razinama za uklanjanje posljedica prir.nesreća</t>
  </si>
  <si>
    <t>614200</t>
  </si>
  <si>
    <t xml:space="preserve"> Tekući grantovi pojedincima</t>
  </si>
  <si>
    <t>BA6020</t>
  </si>
  <si>
    <t xml:space="preserve"> o/č Grant za pomoć pri stambenom zbrinjavanju mladih obitelji 
      i socijalnih kategorija</t>
  </si>
  <si>
    <t>HA6003</t>
  </si>
  <si>
    <t xml:space="preserve"> o/č Grant za zdravstvene potrebe</t>
  </si>
  <si>
    <t>HA6004</t>
  </si>
  <si>
    <t xml:space="preserve"> o/č Grant za socijalne potrebe</t>
  </si>
  <si>
    <t>KA6003</t>
  </si>
  <si>
    <t xml:space="preserve"> o/č Isplate stipendija</t>
  </si>
  <si>
    <t>KA6016</t>
  </si>
  <si>
    <t xml:space="preserve"> o/č Grant za prredškolsko, osnovno i srednje obrazovanje</t>
  </si>
  <si>
    <t>KA6015</t>
  </si>
  <si>
    <t xml:space="preserve"> o/č Grant za sufinanciranje nabavke udžbenika učenicima </t>
  </si>
  <si>
    <t>LA6001</t>
  </si>
  <si>
    <t xml:space="preserve"> o/č Grant za branitelje i stradalnike dom. rata</t>
  </si>
  <si>
    <t>NA6002</t>
  </si>
  <si>
    <t xml:space="preserve"> o/č Grant za zaštitu od prirodnih i drugih nesreća</t>
  </si>
  <si>
    <t>614300</t>
  </si>
  <si>
    <t xml:space="preserve"> Tekući grantovi neprofitnim organizacijama</t>
  </si>
  <si>
    <t>BA6019</t>
  </si>
  <si>
    <t xml:space="preserve"> o/č Grant političkim strankama</t>
  </si>
  <si>
    <t>BA6022</t>
  </si>
  <si>
    <t xml:space="preserve"> o/č Grant za Muzej Franjevačkog samostana Tolisa Vrata Bosne</t>
  </si>
  <si>
    <t>BA6001</t>
  </si>
  <si>
    <t xml:space="preserve"> o/č Grant neprofitnim organizacijama i udrugama građana</t>
  </si>
  <si>
    <t>BA6008</t>
  </si>
  <si>
    <t xml:space="preserve"> o/č Grant za Crveni križ Županije Posavske</t>
  </si>
  <si>
    <t>BA6007</t>
  </si>
  <si>
    <t xml:space="preserve"> o/č Grant za Gospodarsku komoru ŽP</t>
  </si>
  <si>
    <t>HA6005</t>
  </si>
  <si>
    <t xml:space="preserve"> o/č Grant za udruge roditelja djece s posebnim potrebama</t>
  </si>
  <si>
    <t>KA6001</t>
  </si>
  <si>
    <t xml:space="preserve"> o/č Grant za informiranje</t>
  </si>
  <si>
    <t>KA6006</t>
  </si>
  <si>
    <t xml:space="preserve"> o/č Grant za financiranje vjerskih zajednica</t>
  </si>
  <si>
    <t>KA6012</t>
  </si>
  <si>
    <t xml:space="preserve"> o/č Grant za sport</t>
  </si>
  <si>
    <t>KA6013</t>
  </si>
  <si>
    <t xml:space="preserve"> o/č Grant za kulturu</t>
  </si>
  <si>
    <t>614500</t>
  </si>
  <si>
    <t xml:space="preserve"> Subvencije privatnim poduzećima i poduzetnicima</t>
  </si>
  <si>
    <t>FA6001</t>
  </si>
  <si>
    <t xml:space="preserve"> o/č Grant za razvoj poduzetništva, obrta i zadruga</t>
  </si>
  <si>
    <t>JA6004</t>
  </si>
  <si>
    <t xml:space="preserve"> o/č Grant za poljoprivredu</t>
  </si>
  <si>
    <t>JA6005</t>
  </si>
  <si>
    <t xml:space="preserve"> o/č Grant za vodoprivredu</t>
  </si>
  <si>
    <t>JA6007</t>
  </si>
  <si>
    <t xml:space="preserve"> o/č Grant za uređenje poljoprivrednog zemljišta</t>
  </si>
  <si>
    <t xml:space="preserve"> Drugi tekući rashodi</t>
  </si>
  <si>
    <t>GA6005</t>
  </si>
  <si>
    <t xml:space="preserve"> o/č Ostali grantovi-povrat i drugo</t>
  </si>
  <si>
    <t>GA6006</t>
  </si>
  <si>
    <t xml:space="preserve"> o/č Ostali grantovi-izvršenje sudskih presuda i rješenja o izvršenju</t>
  </si>
  <si>
    <t xml:space="preserve"> Kapitalni grantovi</t>
  </si>
  <si>
    <t>615100</t>
  </si>
  <si>
    <t xml:space="preserve"> Kapitalni grant</t>
  </si>
  <si>
    <t>FA6005</t>
  </si>
  <si>
    <t>JA6009</t>
  </si>
  <si>
    <t xml:space="preserve"> Kapitalni grant za vodoprivredu</t>
  </si>
  <si>
    <t>JA6010</t>
  </si>
  <si>
    <t xml:space="preserve"> Kapitalni grant za uređenje poljoprivrednog zemljišta</t>
  </si>
  <si>
    <t>615500</t>
  </si>
  <si>
    <t>FA6004</t>
  </si>
  <si>
    <t xml:space="preserve"> Kapitalni grant za razvoj poduzetništva, obrta i zadruga</t>
  </si>
  <si>
    <t>616000</t>
  </si>
  <si>
    <t xml:space="preserve"> Izdaci za kamate </t>
  </si>
  <si>
    <t>GA6008</t>
  </si>
  <si>
    <t xml:space="preserve"> Izdaci za inozemne kamate-Koreja</t>
  </si>
  <si>
    <t>GA6009</t>
  </si>
  <si>
    <t xml:space="preserve"> Izdaci za inozemne kamate-Austrija</t>
  </si>
  <si>
    <t xml:space="preserve"> Izdaci za nabavku stalnih sredstava</t>
  </si>
  <si>
    <t xml:space="preserve"> Nabavka zemljišta</t>
  </si>
  <si>
    <t xml:space="preserve"> Nabavka građevina</t>
  </si>
  <si>
    <t xml:space="preserve"> Nabavka opreme</t>
  </si>
  <si>
    <t>NA8001</t>
  </si>
  <si>
    <t xml:space="preserve"> Nabavka opreme - vatrogasna postrojba</t>
  </si>
  <si>
    <t xml:space="preserve"> Nabavka stalnih sredstava u obliku prava</t>
  </si>
  <si>
    <t>IA6005</t>
  </si>
  <si>
    <t xml:space="preserve"> Rekonstrukcija i investicijsko održavanje lokalnih cesta</t>
  </si>
  <si>
    <t>IA6006</t>
  </si>
  <si>
    <t xml:space="preserve"> Rekonstrukcija i investicijsko održavanje regionalnih cesta</t>
  </si>
  <si>
    <t xml:space="preserve"> Izdaci za otplate dugova</t>
  </si>
  <si>
    <t xml:space="preserve"> Vanjske otplate - Koreja</t>
  </si>
  <si>
    <t xml:space="preserve"> Vanjske otplate - Austrija</t>
  </si>
  <si>
    <t xml:space="preserve"> Ukupan broj zaposlenih:</t>
  </si>
  <si>
    <t>977 (1021)</t>
  </si>
  <si>
    <t>973 (1013)</t>
  </si>
  <si>
    <t xml:space="preserve"> Ukupno za potrošačke jedinice:</t>
  </si>
  <si>
    <t>II POSEBAN DIO</t>
  </si>
  <si>
    <t>Članak 3.</t>
  </si>
  <si>
    <t xml:space="preserve">     Članak 3. Proračuna mijenja se i glasi:</t>
  </si>
  <si>
    <t>SKUPŠTINA ŽUPANIJE POSAVSKE</t>
  </si>
  <si>
    <t>Proračunska
institucija</t>
  </si>
  <si>
    <t>Potrošačka
jedinica</t>
  </si>
  <si>
    <t>Funkcija</t>
  </si>
  <si>
    <t xml:space="preserve">INDEKS </t>
  </si>
  <si>
    <t>13=11+12</t>
  </si>
  <si>
    <t>14=13/9</t>
  </si>
  <si>
    <t>01</t>
  </si>
  <si>
    <t>0001</t>
  </si>
  <si>
    <t>0111</t>
  </si>
  <si>
    <t xml:space="preserve"> Ukupno za potrošačku jedinicu:</t>
  </si>
  <si>
    <t xml:space="preserve"> Ukupno za proračunsku instituciju:</t>
  </si>
  <si>
    <t xml:space="preserve"> Ukupno za ministarstvo (razdjel):</t>
  </si>
  <si>
    <t>VLADA ŽUPANIJE POSAVSKE</t>
  </si>
  <si>
    <t>11</t>
  </si>
  <si>
    <t xml:space="preserve"> Naknade troškova zaposlenih - volonteri</t>
  </si>
  <si>
    <t xml:space="preserve"> Ugovorene i dr. posebne usluge-volonteri</t>
  </si>
  <si>
    <t xml:space="preserve"> Ugovorene i dr. posebne usluge-sufinanc.prijema vježbenika</t>
  </si>
  <si>
    <t xml:space="preserve"> Grant za Sveučilište u Mostaru</t>
  </si>
  <si>
    <t xml:space="preserve"> Grant neprofitnim organizacijama i udrugama građana</t>
  </si>
  <si>
    <t xml:space="preserve"> Grant za Crveni križ Županije Posavske</t>
  </si>
  <si>
    <t xml:space="preserve"> Grant za Gospodarsku komoru ŽP</t>
  </si>
  <si>
    <t xml:space="preserve"> Grant političkim strankama</t>
  </si>
  <si>
    <t xml:space="preserve"> Grant za Muzej Franjevačkog samostana Tolisa Vrata Bosne</t>
  </si>
  <si>
    <t>VLADA ŽUPANIJE POSAVSKE - URED ZA ZAKONODAVSTVO VLADE ŽUPANIJE POSAVSKE</t>
  </si>
  <si>
    <t>0003</t>
  </si>
  <si>
    <t>VLADA ŽUPANIJE POSAVSKE - SLUŽBA ZA ODNOSE S JAVNOŠĆU VLADE ŽUPANIJE POSAVSKE</t>
  </si>
  <si>
    <t>0004</t>
  </si>
  <si>
    <t>VLADA ŽUPANIJE POSAVSKE - URED ZA RAZVOJ, EUROPSKE INTEGRACIJE I BORBU PROTIV KORUPCIJE ŽUPANIJE POSAVSKE</t>
  </si>
  <si>
    <t>0005</t>
  </si>
  <si>
    <t>9 (10)</t>
  </si>
  <si>
    <t>6 (7)</t>
  </si>
  <si>
    <t>VLADA ŽUPANIJE POSAVSKE - URED ZA OBNOVU, STAMBENO ZBRINJAVANJE I RASELJENE OSOBE VLADE ŽUPANIJE POSAVSKE</t>
  </si>
  <si>
    <t>0006</t>
  </si>
  <si>
    <t xml:space="preserve"> Grant za pomoć pri stambenom zbrinjavanju mladih obitelji 
 i socijalnih kategorija</t>
  </si>
  <si>
    <t>ZAJEDNIČKA SLUŽBA VLADE ŽUPANIJE POSAVSKE</t>
  </si>
  <si>
    <t>12</t>
  </si>
  <si>
    <t>0133</t>
  </si>
  <si>
    <t>MINISTARSTVO UNUTARNJIH POSLOVA ŽUPANIJE POSAVSKE</t>
  </si>
  <si>
    <t>13</t>
  </si>
  <si>
    <t>0310</t>
  </si>
  <si>
    <t>220 (222)</t>
  </si>
  <si>
    <t>227 (230)</t>
  </si>
  <si>
    <t>222 (223)</t>
  </si>
  <si>
    <t>MINISTARSTVO PRAVOSUĐA I UPRAVE ŽUPANIJE POSAVSKE</t>
  </si>
  <si>
    <t>14</t>
  </si>
  <si>
    <t>0360</t>
  </si>
  <si>
    <t xml:space="preserve"> Povjerenstva po Zakonu o drž.službenicima i namještenic.</t>
  </si>
  <si>
    <t xml:space="preserve"> Ugovorene i dr.pos.usluge - troškovi izvršenja mjere pritvora</t>
  </si>
  <si>
    <t>7 (8)</t>
  </si>
  <si>
    <t xml:space="preserve"> MINISTARSTVO PRAVOSUĐA I UPRAVE ŽUPANIJE POSAVSKE - OPĆINSKI SUD U ORAŠJU</t>
  </si>
  <si>
    <t>02</t>
  </si>
  <si>
    <t>0330</t>
  </si>
  <si>
    <t>43 (44)</t>
  </si>
  <si>
    <t>MINISTARSTVO PRAVOSUĐA I UPRAVE ŽUPANIJE POSAVSKE - OPĆINSKO PRAVOBRANITELJSTVO ORAŠJE</t>
  </si>
  <si>
    <t>05</t>
  </si>
  <si>
    <t>MINISTARSTVO PRAVOSUĐA I UPRAVE ŽUPANIJE POSAVSKE - OPĆINSKO PRAVOBRANITELJSTVO ODŽAK</t>
  </si>
  <si>
    <t>0002</t>
  </si>
  <si>
    <t>MINISTARSTVO PRAVOSUĐA I UPRAVE ŽUPANIJE POSAVSKE - ŽUPANIJSKI ZAVOD ZA PRUŽANJE PRAVNE POMOĆI</t>
  </si>
  <si>
    <t>06</t>
  </si>
  <si>
    <t>MINISTARSTVO PRAVOSUĐA I UPRAVE ŽUPANIJE POSAVSKE - ŽUPANIJSKI ARHIV</t>
  </si>
  <si>
    <t>07</t>
  </si>
  <si>
    <t>0130</t>
  </si>
  <si>
    <t>2 (3)</t>
  </si>
  <si>
    <t>1 (2)</t>
  </si>
  <si>
    <t>MINISTARSTVO GOSPODARSTVA, RADA I PROSTORNOG UREĐENJA ŽUPANIJE POSAVSKE</t>
  </si>
  <si>
    <t>15</t>
  </si>
  <si>
    <t>0490</t>
  </si>
  <si>
    <t xml:space="preserve"> Ugovorene i druge posebne usluge-prostorni plan</t>
  </si>
  <si>
    <t xml:space="preserve"> Grant za razvoj turizma</t>
  </si>
  <si>
    <t xml:space="preserve"> Grant za razvoj poduzetništva, obrta i zadruga</t>
  </si>
  <si>
    <t xml:space="preserve"> Kapitalni grant jedinicama lokalne samouprave za 
 razvoj poduzetničke infrastrukture</t>
  </si>
  <si>
    <t>MINISTARSTVO FINANCIJA ŽUPANIJE POSAVSKE</t>
  </si>
  <si>
    <t>16</t>
  </si>
  <si>
    <t>0112</t>
  </si>
  <si>
    <t xml:space="preserve"> Potpora riznici</t>
  </si>
  <si>
    <t xml:space="preserve"> Grant nižim razinama vlasti</t>
  </si>
  <si>
    <t xml:space="preserve"> Ostali grantovi-povrat i drugo</t>
  </si>
  <si>
    <t xml:space="preserve"> Ostali grantovi-izvršenje sudskih presuda i rješenja
 o izvršenju</t>
  </si>
  <si>
    <t xml:space="preserve"> Izdaci za kamate</t>
  </si>
  <si>
    <t>Izdaci za otplate dugova</t>
  </si>
  <si>
    <t>Vanjske otplate-Koreja</t>
  </si>
  <si>
    <t>Vanjske otplate-Austrija</t>
  </si>
  <si>
    <t>17 (18)</t>
  </si>
  <si>
    <t>MINISTARSTVO ZDRAVSTVA I SOCIJALNE POLITIKE ŽUPANIJE POSAVSKE</t>
  </si>
  <si>
    <t>17</t>
  </si>
  <si>
    <t>1090</t>
  </si>
  <si>
    <t xml:space="preserve"> Grant za zdravstvene institucije i centre za soc.rad</t>
  </si>
  <si>
    <t xml:space="preserve"> Grant za zdravstvene potrebe</t>
  </si>
  <si>
    <t xml:space="preserve"> Grant za socijalne potrebe</t>
  </si>
  <si>
    <t xml:space="preserve"> Grant za udruge roditelja djece s posebnim potrebama</t>
  </si>
  <si>
    <t xml:space="preserve"> </t>
  </si>
  <si>
    <t>10 (11)</t>
  </si>
  <si>
    <t>11 (12)</t>
  </si>
  <si>
    <t>MINISTARSTVO PROMETA, VEZA  I ZAŠTITE OKOLIŠA ŽUPANIJE POSAVSKE</t>
  </si>
  <si>
    <t>18</t>
  </si>
  <si>
    <t xml:space="preserve"> Tekuće održavanje cesta</t>
  </si>
  <si>
    <t xml:space="preserve"> Grant za zaštitu okoliša</t>
  </si>
  <si>
    <t>MINISTARSTVO POLJOPRIVREDE, VODOPRIVREDE I ŠUMARSTVA ŽUPANIJE POSAVSKE</t>
  </si>
  <si>
    <t>19</t>
  </si>
  <si>
    <t>0421</t>
  </si>
  <si>
    <t xml:space="preserve"> Grant za šumarstvo</t>
  </si>
  <si>
    <t xml:space="preserve"> Grant za poljoprivredu</t>
  </si>
  <si>
    <t xml:space="preserve"> Grant za vodoprivredu</t>
  </si>
  <si>
    <t xml:space="preserve"> Grant za uređenje poljoprivrednog zemljišta</t>
  </si>
  <si>
    <t>28 (30)</t>
  </si>
  <si>
    <t>28 (29)</t>
  </si>
  <si>
    <t>30 (31)</t>
  </si>
  <si>
    <t>MINISTARSTVO PROSVJETE, ZNANOSTI, KULTURE I SPORTA ŽUPANIJE POSAVSKE</t>
  </si>
  <si>
    <t>20</t>
  </si>
  <si>
    <t>0980</t>
  </si>
  <si>
    <t>0912</t>
  </si>
  <si>
    <t xml:space="preserve"> Nabavka mat.i sitn.invent.-obroci za učenike</t>
  </si>
  <si>
    <t xml:space="preserve"> Izdaci za negativne tečajne razlike</t>
  </si>
  <si>
    <t xml:space="preserve"> Vozački ispiti-vlastiti prihodi</t>
  </si>
  <si>
    <t xml:space="preserve"> Ugovorene i druge posebne usluge-obuke i seminari
 prosvjetnih djelatnika</t>
  </si>
  <si>
    <t>0941</t>
  </si>
  <si>
    <t xml:space="preserve"> Grant za financiranje visokog obrazovanja    
</t>
  </si>
  <si>
    <t xml:space="preserve"> Grant za sufinanciranje prijevoza učenika</t>
  </si>
  <si>
    <t xml:space="preserve"> Isplate stipendija</t>
  </si>
  <si>
    <t>0912
0921</t>
  </si>
  <si>
    <t xml:space="preserve"> Grant za predškolsko, osnovno i srednje obrazovanje</t>
  </si>
  <si>
    <t xml:space="preserve"> Grant za sufinanciranje nabavke udžbenika učenicima</t>
  </si>
  <si>
    <t>0830</t>
  </si>
  <si>
    <t xml:space="preserve"> Grant za informiranje</t>
  </si>
  <si>
    <t>0840</t>
  </si>
  <si>
    <t xml:space="preserve"> Grant za financiranje vjerskih zajednica</t>
  </si>
  <si>
    <t>0810</t>
  </si>
  <si>
    <t xml:space="preserve"> Grant za sport</t>
  </si>
  <si>
    <t>0820</t>
  </si>
  <si>
    <t xml:space="preserve"> Grant za kulturu</t>
  </si>
  <si>
    <t>14 (15)</t>
  </si>
  <si>
    <t>14 (16)</t>
  </si>
  <si>
    <t>13 (14)</t>
  </si>
  <si>
    <t>MINISTARSTVO PROSVJETE, ZNANOSTI, KULTURE I SPORTA ŽUPANIJE POSAVSKE - SREDNJA ŠKOLA PERE ZEČEVIĆA U ODŽAKU</t>
  </si>
  <si>
    <t>0922</t>
  </si>
  <si>
    <t>47 (47)</t>
  </si>
  <si>
    <t>44 (44)</t>
  </si>
  <si>
    <t>MINISTARSTVO PROSVJETE, ZNANOSTI, KULTURE I SPORTA ŽUPANIJE POSAVSKE - ŠKOLSKI CENTAR FRA MARTINA NEDIĆA U ORAŠJU</t>
  </si>
  <si>
    <t>45 (45)</t>
  </si>
  <si>
    <t>MINISTARSTVO PROSVJETE, ZNANOSTI, KULTURE I SPORTA ŽUPANIJE POSAVSKE - SREDNJA STRUKOVNA ŠKOLA ORAŠJE U ORAŠJU</t>
  </si>
  <si>
    <t>41 (48)</t>
  </si>
  <si>
    <t>40 (47)</t>
  </si>
  <si>
    <t>MINISTARSTVO PROSVJETE, ZNANOSTI, KULTURE I SPORTA ŽUPANIJE POSAVSKE - OSNOVNA ŠKOLA ORAŠJE U ORAŠJU</t>
  </si>
  <si>
    <t>03</t>
  </si>
  <si>
    <t>54 (58)</t>
  </si>
  <si>
    <t>56 (59)</t>
  </si>
  <si>
    <t>MINISTARSTVO PROSVJETE, ZNANOSTI, KULTURE I SPORTA ŽUPANIJE POSAVSKE - OSNOVNA ŠKOLA VLADIMIRA NAZORA U ODŽAKU</t>
  </si>
  <si>
    <t>106 (110)</t>
  </si>
  <si>
    <t>108 (112)</t>
  </si>
  <si>
    <t>108 (110)</t>
  </si>
  <si>
    <t>MINISTARSTVO PROSVJETE, ZNANOSTI, KULTURE I SPORTA ŽUPANIJE POSAVSKE - OSNOVNA ŠKOLA RUĐERA BOŠKOVIĆA U DONJOJ MAHALI</t>
  </si>
  <si>
    <t>MINISTARSTVO PROSVJETE, ZNANOSTI, KULTURE I SPORTA ŽUPANIJE POSAVSKE - OSNOVNA ŠKOLA FRA ILIJE STARČEVIĆA U TOLISI</t>
  </si>
  <si>
    <t>36 (39)</t>
  </si>
  <si>
    <t>34 (37)</t>
  </si>
  <si>
    <t>MINISTARSTVO PROSVJETE, ZNANOSTI, KULTURE I SPORTA ŽUPANIJE POSAVSKE - OSNOVNA ŠKOLA STJEPANA RADIĆA U BOKU</t>
  </si>
  <si>
    <t>41 (43)</t>
  </si>
  <si>
    <t>42 (44)</t>
  </si>
  <si>
    <t>MINISTARSTVO PROSVJETE, ZNANOSTI, KULTURE I SPORTA ŽUPANIJE POSAVSKE - OSNOVNA ŠKOLA ANTUNA GUSTAVA MATOŠA U VIDOVICAMA</t>
  </si>
  <si>
    <t>16 (23)</t>
  </si>
  <si>
    <t>15 (20)</t>
  </si>
  <si>
    <t>16 (21)</t>
  </si>
  <si>
    <t>MINISTARSTVO PROSVJETE, ZNANOSTI, KULTURE I SPORTA ŽUPANIJE POSAVSKE - OSNOVNA ŠKOLA BRAĆE RADIĆA U DOMALJEVCU</t>
  </si>
  <si>
    <t>0007</t>
  </si>
  <si>
    <t>MINISTARSTVO BRANITELJA ŽUPANIJE POSAVSKE</t>
  </si>
  <si>
    <t>21</t>
  </si>
  <si>
    <t xml:space="preserve"> Grant za branitelje i stradalnike Domovinskog rata</t>
  </si>
  <si>
    <t>AGENCIJA ZA PRIVATIZACIJU U ŽUPANIJI POSAVSKOJ</t>
  </si>
  <si>
    <t>22</t>
  </si>
  <si>
    <t>ŽUPANIJSKA UPRAVA CIVILNE ZAŠTITE</t>
  </si>
  <si>
    <t>23</t>
  </si>
  <si>
    <t>0320</t>
  </si>
  <si>
    <t xml:space="preserve"> Grant nižim razinama za uklanjanje posljedica prir.nesreća</t>
  </si>
  <si>
    <t xml:space="preserve"> Grant za zaštitu od prirodnih i drugih nesreća</t>
  </si>
  <si>
    <t>KANTONALNI SUD ODŽAK</t>
  </si>
  <si>
    <t>24</t>
  </si>
  <si>
    <t>ŽUPANIJSKO PRAVOBRANITELJSTVO</t>
  </si>
  <si>
    <t>26</t>
  </si>
  <si>
    <t>KANTONALNO TUŽITELJSTVO POSAVSKOG KANTONA ORAŠJE</t>
  </si>
  <si>
    <t>27</t>
  </si>
  <si>
    <t>12 (14)</t>
  </si>
  <si>
    <t>11 (13)</t>
  </si>
  <si>
    <t>12 (13)</t>
  </si>
  <si>
    <t>ŽUPANIJSKA UPRAVA ZA INSPEKCIJSKE POSLOVE</t>
  </si>
  <si>
    <t>28</t>
  </si>
  <si>
    <t>IZMJENE I DOPUNE PRORAČUNA ŽUPANIJE POSAVSKE ZA 2024.GODINU (po korisnicima i ekonomskim klasifikacijama izdataka)</t>
  </si>
  <si>
    <t>Proračunski
korisnik</t>
  </si>
  <si>
    <t>NAZIV</t>
  </si>
  <si>
    <t>Bruto plaće
611100</t>
  </si>
  <si>
    <t>Nakn.trošk.zaposlenih
611200</t>
  </si>
  <si>
    <t>Dopr.posl.
612000</t>
  </si>
  <si>
    <t>Mat.trošk.
613000</t>
  </si>
  <si>
    <t xml:space="preserve">Tekući grantovi
614000 </t>
  </si>
  <si>
    <t>Kapitalni grantovi
615000</t>
  </si>
  <si>
    <t>Izdaci za kamate
616000</t>
  </si>
  <si>
    <t>Nab.staln.
sredstava
821000</t>
  </si>
  <si>
    <t>Otplate dugova
823000</t>
  </si>
  <si>
    <t>Vlada ŽP - Ured za razvoj, europske integracije i borbu protiv korupcije Županije Posavske</t>
  </si>
  <si>
    <t>Vlada ŽP - Ured za obnovu, stambeno zbrinjavanje i raseljene osobe Vlade Županije Posavske</t>
  </si>
  <si>
    <t>Ministarstvo pravosuđa i uprave Županije Posavske - Općinski sud u Orašju</t>
  </si>
  <si>
    <t>Ministarstvo pravosuđa i uprave Županije Posavske - Općinsko pravobraniteljstvo Orašje</t>
  </si>
  <si>
    <t>Ministarstvo pravosuđa i uprave Županije Posavske - Općinsko pravobraniteljstvo Odžak</t>
  </si>
  <si>
    <t>Ministarstvo pravosuđa i uprave Županije Posavske - Županijski Zavod za pružanje pravne pomoći</t>
  </si>
  <si>
    <t>Ministarstvo pravosuđa i uprave Županije Posavske - Županijski arhiv</t>
  </si>
  <si>
    <t>Ministarstvo gospodarstva, rada i prostornog uređenja Županije Posavske</t>
  </si>
  <si>
    <t>Ministarstvo poljoprivrede, vodoprivrede i šumarstva Županije Posavske</t>
  </si>
  <si>
    <t>Ministarstvo prosvjete, znanosti, kulture i sporta ŽP - Srednja škola Pere Zečevića u Odžaku</t>
  </si>
  <si>
    <t>Ministarstvo prosvjete, znanosti, kulture i sporta ŽP - Školski centar fra Martina Nedića u Orašju</t>
  </si>
  <si>
    <t>Ministarstvo prosvjete, znanosti, kulture i sporta ŽP - Srednja strukovna škola Orašje u Orašju</t>
  </si>
  <si>
    <t>Ministarstvo prosvjete, znanosti, kulture i sporta ŽP - Osnovna škola Orašje u Orašju</t>
  </si>
  <si>
    <t>Ministarstvo prosvjete, znanosti, kulture i sporta ŽP - Osnovna škola Vladimira Nazora u Odžaku</t>
  </si>
  <si>
    <t>Ministarstvo prosvjete, znanosti, kulture i sporta ŽP - Osn.škola Ruđera Boškovića u Donjoj Mahali</t>
  </si>
  <si>
    <t>Ministarstvo prosvjete, znanosti, kulture i sporta ŽP - Osnovna škola fra Ilije Starčevića u Tolisi</t>
  </si>
  <si>
    <t>Ministarstvo prosvjete, znanosti, kulture i sporta ŽP - Osn.škola Stjepana Radića u Boku</t>
  </si>
  <si>
    <t>Ministarstvo prosvj., znan., kult.i sporta ŽP - Osnovna škola Antuna Gustava Matoša u Vidovicama</t>
  </si>
  <si>
    <t>Ministarstvo prosvjete, znanosti, kulture i sporta ŽP - Osnovna škola Braće Radića u Domaljevcu</t>
  </si>
  <si>
    <t>UKUPNO:</t>
  </si>
  <si>
    <t>Tekuća pričuva</t>
  </si>
  <si>
    <t>Pokriće deficita</t>
  </si>
  <si>
    <t>PLANIRANI BROJ ZAPOSLENIH U 2024.GODINI</t>
  </si>
  <si>
    <t>Broj zaposlenih na naodređeno vrijeme</t>
  </si>
  <si>
    <t>Broj vježbenika</t>
  </si>
  <si>
    <t>Broj zaposlenih iz drugih institucija</t>
  </si>
  <si>
    <t>Broj vanjskih suradnika (prosvjeta)</t>
  </si>
  <si>
    <t>FUNKCIJSKA KLASIFIKACIJA RASHODA I IZDATAKA IZMJENA I DOPUNA PRORAČUNA ŽUPANIJE POSAVSKE ZA 2024.G.</t>
  </si>
  <si>
    <t>Funk. kod</t>
  </si>
  <si>
    <t>Opis</t>
  </si>
  <si>
    <t>PRORAČUN za 2024.(NN ŽP 20/23) / Poveć./smanjenje Proračuna za 2024.</t>
  </si>
  <si>
    <t>5=4/3</t>
  </si>
  <si>
    <t>Ukupni rashodi (zbroj funkcija) (2+11+17+24+34+41+48+55+62+71)</t>
  </si>
  <si>
    <t>Opće javne usluge       (3+…..+10)</t>
  </si>
  <si>
    <t>011</t>
  </si>
  <si>
    <t>Izvršni i zakonodavni organi, financijski i fiskalni poslovi, vanjski poslovi</t>
  </si>
  <si>
    <t>012</t>
  </si>
  <si>
    <t>Strana ekonomska pomoć</t>
  </si>
  <si>
    <t>013</t>
  </si>
  <si>
    <t>Opće usluge</t>
  </si>
  <si>
    <t>014</t>
  </si>
  <si>
    <t>Osnovno istraživanje</t>
  </si>
  <si>
    <t>015</t>
  </si>
  <si>
    <t>IiR Opće javne usluge</t>
  </si>
  <si>
    <t>016</t>
  </si>
  <si>
    <t>Opće javne usluge n. k.</t>
  </si>
  <si>
    <t>017</t>
  </si>
  <si>
    <t xml:space="preserve">Transakcije vezane za javni dug </t>
  </si>
  <si>
    <t>018</t>
  </si>
  <si>
    <t>Transferi općeg karaktera između različitih razina vlasti</t>
  </si>
  <si>
    <t>Obrana      (12+….+16)</t>
  </si>
  <si>
    <t>021</t>
  </si>
  <si>
    <t>Vojna obrana</t>
  </si>
  <si>
    <t>022</t>
  </si>
  <si>
    <t>Civilna obrana</t>
  </si>
  <si>
    <t>023</t>
  </si>
  <si>
    <t>Inozemna vojna pomoć</t>
  </si>
  <si>
    <t>024</t>
  </si>
  <si>
    <t>IiR Obrana</t>
  </si>
  <si>
    <t>025</t>
  </si>
  <si>
    <t>Obrana n. k.</t>
  </si>
  <si>
    <t>Javni red i sihurnost       (18+….+23)</t>
  </si>
  <si>
    <t>031</t>
  </si>
  <si>
    <t>Policijske usluge</t>
  </si>
  <si>
    <t>032</t>
  </si>
  <si>
    <t xml:space="preserve">Usluge protupožarne zaštite </t>
  </si>
  <si>
    <t>033</t>
  </si>
  <si>
    <t>Sudovi</t>
  </si>
  <si>
    <t>034</t>
  </si>
  <si>
    <t>Zatvori</t>
  </si>
  <si>
    <t>035</t>
  </si>
  <si>
    <t>IiR  Javni red i sigurnost</t>
  </si>
  <si>
    <t>036</t>
  </si>
  <si>
    <t>Javni red i sigurnost n. k.</t>
  </si>
  <si>
    <t>04</t>
  </si>
  <si>
    <t>Ekonomski poslovi    (25+….+33)</t>
  </si>
  <si>
    <t>041</t>
  </si>
  <si>
    <t>Opći ekonomski, komercijalni i poslovi po pitanju rada</t>
  </si>
  <si>
    <t>042</t>
  </si>
  <si>
    <t>Poljoprivreda, šumarstvo, lov i ribolov</t>
  </si>
  <si>
    <t>043</t>
  </si>
  <si>
    <t>Gorivo i energija</t>
  </si>
  <si>
    <t>044</t>
  </si>
  <si>
    <t xml:space="preserve">Rudarstvo, proizvodnja i izgradnja </t>
  </si>
  <si>
    <t>045</t>
  </si>
  <si>
    <t>Promet</t>
  </si>
  <si>
    <t>046</t>
  </si>
  <si>
    <t>Komunikacije</t>
  </si>
  <si>
    <t>047</t>
  </si>
  <si>
    <t>Ostale industrije</t>
  </si>
  <si>
    <t>048</t>
  </si>
  <si>
    <t>IiR Ekonomski poslovi</t>
  </si>
  <si>
    <t>049</t>
  </si>
  <si>
    <t>Ekonomski poslovi n. k.</t>
  </si>
  <si>
    <t>Zaštita životne sredine      (35+…..+40)</t>
  </si>
  <si>
    <t>051</t>
  </si>
  <si>
    <t xml:space="preserve">Upravljanje otpadom </t>
  </si>
  <si>
    <t>052</t>
  </si>
  <si>
    <t>Upravljanje otpadnim vodama</t>
  </si>
  <si>
    <t>053</t>
  </si>
  <si>
    <t>Smanjenje zagađenosti</t>
  </si>
  <si>
    <t>054</t>
  </si>
  <si>
    <t>Zaštita raznovrsnosti flore i faune i zaštita okoliša</t>
  </si>
  <si>
    <t>055</t>
  </si>
  <si>
    <t xml:space="preserve">IiR Zaštita životne sredine </t>
  </si>
  <si>
    <t>056</t>
  </si>
  <si>
    <t>Zaštita životne sredine n. k.</t>
  </si>
  <si>
    <t>Stambeni i zajednički poslovi    (42+….+47)</t>
  </si>
  <si>
    <t>061</t>
  </si>
  <si>
    <t>Stambeni razvoj</t>
  </si>
  <si>
    <t>062</t>
  </si>
  <si>
    <t>Razvoj zajednice</t>
  </si>
  <si>
    <t>063</t>
  </si>
  <si>
    <t>Vodoopskrba</t>
  </si>
  <si>
    <t>064</t>
  </si>
  <si>
    <t>Ulična rasvjeta</t>
  </si>
  <si>
    <t>065</t>
  </si>
  <si>
    <t>IiR Stambeni i zajednički poslovi</t>
  </si>
  <si>
    <t>066</t>
  </si>
  <si>
    <t>Stambeni i zajednički poslovi n. k.</t>
  </si>
  <si>
    <t>Zdravstvo    (49+….+54)</t>
  </si>
  <si>
    <t>071</t>
  </si>
  <si>
    <t>Medicinski proizvodi, uređaji i oprema</t>
  </si>
  <si>
    <t>072</t>
  </si>
  <si>
    <t>Izvanbolničke usluge</t>
  </si>
  <si>
    <t>073</t>
  </si>
  <si>
    <t>Bolničke usluge</t>
  </si>
  <si>
    <t>074</t>
  </si>
  <si>
    <t>Usluge zdravstvene zaštite</t>
  </si>
  <si>
    <t>075</t>
  </si>
  <si>
    <t>IiR Zdravstvo</t>
  </si>
  <si>
    <t>076</t>
  </si>
  <si>
    <t>Zdravstvo n. k.</t>
  </si>
  <si>
    <t>08</t>
  </si>
  <si>
    <t>Rekreacija, kultura i religija     (56+….+61)</t>
  </si>
  <si>
    <t>081</t>
  </si>
  <si>
    <t>Usluge sporta i rekreacije</t>
  </si>
  <si>
    <t>082</t>
  </si>
  <si>
    <t xml:space="preserve">Usluge kulture </t>
  </si>
  <si>
    <t>083</t>
  </si>
  <si>
    <t xml:space="preserve">Usluge emitiranja i izdavaštva </t>
  </si>
  <si>
    <t>084</t>
  </si>
  <si>
    <t xml:space="preserve">Religijske i druge zajedničke usluge </t>
  </si>
  <si>
    <t>085</t>
  </si>
  <si>
    <t>IiR Rekreacija, kultura i religija</t>
  </si>
  <si>
    <t>086</t>
  </si>
  <si>
    <t>Rekreacija, kultura i religija n. k.</t>
  </si>
  <si>
    <t>09</t>
  </si>
  <si>
    <t>Obrazovanje         (63+…..+70)</t>
  </si>
  <si>
    <t>091</t>
  </si>
  <si>
    <t>Predškolsko i osnovno obrazovanje</t>
  </si>
  <si>
    <t>092</t>
  </si>
  <si>
    <t>Srednje obrazovanje</t>
  </si>
  <si>
    <t>093</t>
  </si>
  <si>
    <t>Obrazovanje poslije srednje škole koje nije visoko obrazovanje</t>
  </si>
  <si>
    <t>094</t>
  </si>
  <si>
    <t>Visoko obrazovanje</t>
  </si>
  <si>
    <t>095</t>
  </si>
  <si>
    <t>Obrazovanje koje nije definirano razinom</t>
  </si>
  <si>
    <t>096</t>
  </si>
  <si>
    <t>Pomoćne usluge obrazovanju</t>
  </si>
  <si>
    <t>097</t>
  </si>
  <si>
    <t>IiR Obrazovanje</t>
  </si>
  <si>
    <t>098</t>
  </si>
  <si>
    <t>Obrazovanje n. k.</t>
  </si>
  <si>
    <t>10</t>
  </si>
  <si>
    <t>Socijalna zaštita      (72+…..+80)</t>
  </si>
  <si>
    <t>101</t>
  </si>
  <si>
    <t>Bolest i hendikepiranost</t>
  </si>
  <si>
    <t>102</t>
  </si>
  <si>
    <t>Starost</t>
  </si>
  <si>
    <t>103</t>
  </si>
  <si>
    <t>Nasljednici</t>
  </si>
  <si>
    <t>104</t>
  </si>
  <si>
    <t>Obitelj i djeca</t>
  </si>
  <si>
    <t>105</t>
  </si>
  <si>
    <t>Neuposlenost</t>
  </si>
  <si>
    <t>106</t>
  </si>
  <si>
    <t>Stanovanje</t>
  </si>
  <si>
    <t>107</t>
  </si>
  <si>
    <t>Socijalno isključenje n. k.</t>
  </si>
  <si>
    <t>108</t>
  </si>
  <si>
    <t>IiR Socijalna zaštita</t>
  </si>
  <si>
    <t>109</t>
  </si>
  <si>
    <t>Socijalna zaštita n. k.</t>
  </si>
  <si>
    <t>IZDACI ZA NABAVKU STALNIH SREDSTAVA ŽUPANIJE POSAVSKE ZA 2024.G.(po proračunskim korisnicima i izvorima financiranja)</t>
  </si>
  <si>
    <t>Izvor financiranja</t>
  </si>
  <si>
    <t>Proračun</t>
  </si>
  <si>
    <t>Namjenski prihodi</t>
  </si>
  <si>
    <t>Grantovi i donacije</t>
  </si>
  <si>
    <t>3=4+5+6</t>
  </si>
  <si>
    <t>Ministarstvo prosvjete, znanosti, kulture i sporta ŽP - Osnovna škola Stjepana Radića u Boku</t>
  </si>
  <si>
    <t>Članak 4.</t>
  </si>
  <si>
    <t>Članak 4. Proračuna mijenja se i glasi:</t>
  </si>
  <si>
    <t>Članak 5.</t>
  </si>
  <si>
    <t xml:space="preserve">                                                                                                                                      </t>
  </si>
  <si>
    <t xml:space="preserve">     Izmjene i dopune Proračuna Županije Posavske za 2024. godinu stupaju na snagu narednog dana od dana objave u "Narodnim novinama Županije Posavske".</t>
  </si>
  <si>
    <t xml:space="preserve">Bosna i Hercegovina </t>
  </si>
  <si>
    <t>Federacija Bosne i Hercegovine</t>
  </si>
  <si>
    <t>ŽUPANIJA POSAVSKA</t>
  </si>
  <si>
    <t xml:space="preserve">Skupština </t>
  </si>
  <si>
    <t>Broj: ________________/24</t>
  </si>
  <si>
    <t>Domaljevac, _________________ godine</t>
  </si>
  <si>
    <t>Predsjednik</t>
  </si>
  <si>
    <t>Blaž Župarić, v.r.</t>
  </si>
  <si>
    <t>Domaljevac, studeni 2024. godine</t>
  </si>
  <si>
    <t xml:space="preserve">      11010001 Vlada Županije Posavske - Federalno ministarstvo prostornog uređenja  - 
      Zamjena krova na zgradi Općinskog suda u Orašju (2024.)</t>
  </si>
  <si>
    <t xml:space="preserve">      17010001 Ministarstvo zdravstva i socijalne politike - Federalno ministarstvo rada i 
      socijalne politike - Civilne žrtve rata</t>
  </si>
  <si>
    <r>
      <t xml:space="preserve">      15010001 Ministarstvo gospodarstva,rada i prost.uređenja - Fed.ministarstvo 
      prostornog uređenja - Prostorni plan </t>
    </r>
    <r>
      <rPr>
        <b/>
        <i/>
        <sz val="10"/>
        <color indexed="8"/>
        <rFont val="Arial"/>
        <family val="2"/>
        <charset val="238"/>
      </rPr>
      <t>(razgr.)</t>
    </r>
  </si>
  <si>
    <r>
      <t xml:space="preserve">      19010001 Ministarstvo poljoprivrede, vodoprivrede i šumarstva - Fed.ministarstvo 
      prostornog uređenja - Uređenje odvodne kanalske mreže na prostoru ŽP (</t>
    </r>
    <r>
      <rPr>
        <b/>
        <i/>
        <sz val="10"/>
        <color rgb="FF000000"/>
        <rFont val="Arial"/>
        <family val="2"/>
        <charset val="238"/>
      </rPr>
      <t>razgr.</t>
    </r>
    <r>
      <rPr>
        <i/>
        <sz val="10"/>
        <color indexed="8"/>
        <rFont val="Arial"/>
        <family val="2"/>
        <charset val="238"/>
      </rPr>
      <t>)</t>
    </r>
  </si>
  <si>
    <t xml:space="preserve">      20010001 Ministarstvo prosvjete, znanosti, kulture i sporta - Fed.ministarstvo 
      obrazovanja i nauke - Podrška programima razvijanja funkcion.znanja i vještina djece 
      predškolskog uzrasta i učenika javnih osnovnih i javnih srednjih škola (2024.)</t>
  </si>
  <si>
    <t xml:space="preserve">      20010001 Ministarstvo prosvjete, znanosti, kulture i sporta - Fed.ministarstvo 
      obrazovanja i nauke -  Nabavka  udžbenika za učenike osnovnih škola u FBiH od 1. 
      do 5. razreda (2024.)</t>
  </si>
  <si>
    <t xml:space="preserve">      99999999 Riznica ŽP  - Fed.ministarstvo obrazovanja i nauke - - Nabavka  udžbenika
      za učenike osnovnih škola u FBiH od 1. do 5. razreda (2024.) - refundacija</t>
  </si>
  <si>
    <r>
      <t xml:space="preserve">      99999999 Riznica ŽP - Fed.ministarstvo financija - Prorač.potpora 2023.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</si>
  <si>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  99999999 Riznica ŽP - Fed.ministarstvo financija - Proračunska potpora 2024..</t>
  </si>
  <si>
    <r>
      <t xml:space="preserve">      20010001 Ministarstvo prosvjete, znanosti, kulture i sporta - Središnji državni ured za
     Hrvate izvan RH - Izgradnja vanjskih sportskih terena Školskog centra fra Martina 
     Nedića Orašje (</t>
    </r>
    <r>
      <rPr>
        <b/>
        <i/>
        <sz val="10"/>
        <color rgb="FF000000"/>
        <rFont val="Arial"/>
        <family val="2"/>
        <charset val="238"/>
      </rPr>
      <t>razgr.</t>
    </r>
    <r>
      <rPr>
        <i/>
        <sz val="10"/>
        <color indexed="8"/>
        <rFont val="Arial"/>
        <family val="2"/>
        <charset val="238"/>
      </rPr>
      <t>)</t>
    </r>
  </si>
  <si>
    <t xml:space="preserve">      20020002 SŠ Pere Zečevića u Odžaku - Ministarstvo regionalnog razvoja i fondova 
      EU RH - Projekt Sportom do prijateljstva i bolje budućnosti (refundacija 2023.)</t>
  </si>
  <si>
    <t xml:space="preserve">      20030001 OŠ Orašje u Orašju - Središnji državni ured za Hrvate izvan RH - Darujemo 
      djeci knjige (2023)</t>
  </si>
  <si>
    <t xml:space="preserve">      20030002 OŠ Vladimira Nazora u Odžaku - Središnji državni ured za Hrvate izvan 
      RH - Uređenje ženske svlačionice u Centralnoj školi (2024.)</t>
  </si>
  <si>
    <t xml:space="preserve">      11010001 Vlada Županije Posavske - Federalno ministarstvo prostornog uređenja  - 
      Zamjena krova na zgradi Vlade Županije Posavske u Orašju (2024.)</t>
  </si>
  <si>
    <t xml:space="preserve">      20010001 Ministarstvo prosvjete, znanosti, kulture i sporta - Federalno ministarstvo 
      prostornog uređenja- Utopljavanje OŠ V.Nazora u Odžaku - Područna škola u Donjem
      Svilaju (2023.)</t>
  </si>
  <si>
    <t xml:space="preserve">      20010001 Ministarstvo prosvjete, znanosti, kulture i sporta - Federalno ministarstvo 
      prostornog uređenja- Utopljavanje SŠ P.Zečevića u Odžaku - sportska dvorana (2023.)</t>
  </si>
  <si>
    <r>
      <t xml:space="preserve">      20010001 Ministarstvo prosvjete, znanosti, kulture i sporta - Federalno ministarstvo 
      prostornog uređenja - </t>
    </r>
    <r>
      <rPr>
        <i/>
        <sz val="10"/>
        <rFont val="Arial"/>
        <family val="2"/>
        <charset val="238"/>
      </rPr>
      <t>Provođenje mjera energijske učinkovitosti na objektu velike 
      sportske dvorane Srednje škole P.Zečevića Odžak</t>
    </r>
    <r>
      <rPr>
        <i/>
        <sz val="10"/>
        <color indexed="8"/>
        <rFont val="Arial"/>
        <family val="2"/>
        <charset val="238"/>
      </rPr>
      <t xml:space="preserve"> (2024.)</t>
    </r>
  </si>
  <si>
    <t xml:space="preserve">      20010001 Ministarstvo prosvjete, znanosti, kulture i sporta - Federalno ministarstvo 
      prostornog uređenja -Provođenje mjera energijske učinkovitosti na objektu Srednje 
      strukovne škole Orašje (2024.)</t>
  </si>
  <si>
    <r>
      <t xml:space="preserve">      </t>
    </r>
    <r>
      <rPr>
        <i/>
        <sz val="10"/>
        <color rgb="FF000000"/>
        <rFont val="Arial"/>
        <family val="2"/>
        <charset val="238"/>
      </rPr>
      <t>23010001 Županijska uprava civilne zaštite - Federalno ministarstvo prostornog
      uređenja  - Utopljavanje zgrade Vatrogasnog doma u Odžaku (2024.)</t>
    </r>
  </si>
  <si>
    <t xml:space="preserve">      23010001 Županijska uprava civilne zaštite - Minist.region.razvoja i fondova EU RH -
      Projekt nabave opreme za JVP Vinkovci i Žup.upravu civilne zaštite Orašje (2024)</t>
  </si>
  <si>
    <t>40 (48)</t>
  </si>
  <si>
    <t>59 (62)</t>
  </si>
  <si>
    <t>39 (42)</t>
  </si>
  <si>
    <t>976 (1012)</t>
  </si>
  <si>
    <t>Na temelju članka 26. stavak (1.) točka c) Ustava Županije Posavske - pročišćeni tekst ("Narodne novine Županije Posavske", broj: 15/23) i članka 37.(3.) Zakona o proračunima u Federaciji Bosne i Hercegovine ("Službene novine Federacije BiH", broj: 102/13, 9/14, 13/14, 8/15, 91/15, 102/15, 104/16, 5/18, 11/19, 99/19 i 25a/22), Skupština Županije Posavske na ________________ sjednici održanoj dana _____________ godine usvaja</t>
  </si>
  <si>
    <t xml:space="preserve">      20010001 Ministarstvo prosvjete, znanosti, kulture i sporta - Fond za zaštitu okoliša
      FBiH - Provođenje mjera energetske učinkovitosti na aneksu objekta SŠ 
      P.Zečevića u Odžaku (2024.)</t>
  </si>
  <si>
    <t xml:space="preserve">      24010001 Kantonalni sud Odžak -  Fond za zaštitu okoliša FBiH - Realizacija 
      programa, projekata i sličnih aktivnosti iz područja zaštite okoliša - ugradnja 
      visokotempreaturne toplotne pumpe (2024)</t>
  </si>
  <si>
    <t xml:space="preserve">      24010001 Kantonalni sud Odžak - Federalno ministarstvo prostornog uređenja - 
      Utopljavanje zgrade Kantonalnog suda (2022.)</t>
  </si>
  <si>
    <t xml:space="preserve">      23010001 Županijska uprava civilne zaštite - Federalno ministarstvo prostornog 
      uređenja - Utopljavanje zgrade Žup.uprave civ.zaštite (2022.)</t>
  </si>
  <si>
    <t>NACRT</t>
  </si>
  <si>
    <t xml:space="preserve">           o/t za provođenje strukturalnih reformi</t>
  </si>
  <si>
    <t xml:space="preserve">           o/t za financ./sufinancir.infrastrukturnih projekata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</si>
</sst>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#,##0\ &quot;KM&quot;;\-#,##0\ &quot;KM&quot;"/>
    <numFmt numFmtId="43" formatCode="_-* #,##0.00_-;\-* #,##0.00_-;_-* &quot;-&quot;??_-;_-@_-"/>
    <numFmt numFmtId="164" formatCode="#,##0\ &quot;kn&quot;;[Red]\-#,##0\ &quot;kn&quot;"/>
    <numFmt numFmtId="165" formatCode="_-* #,##0.00\ _k_n_-;\-* #,##0.00\ _k_n_-;_-* &quot;-&quot;??\ _k_n_-;_-@_-"/>
    <numFmt numFmtId="166" formatCode="_-* #,##0_-;\-* #,##0_-;_-* &quot;-&quot;??_-;_-@_-"/>
    <numFmt numFmtId="167" formatCode="000"/>
  </numFmts>
  <fonts count="4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i/>
      <sz val="8"/>
      <name val="Arial"/>
      <family val="2"/>
    </font>
    <font>
      <i/>
      <sz val="11"/>
      <name val="Arial"/>
      <family val="2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4"/>
      <name val="Arial"/>
      <family val="2"/>
      <charset val="238"/>
    </font>
    <font>
      <sz val="10"/>
      <color theme="0"/>
      <name val="Arial"/>
      <family val="2"/>
    </font>
    <font>
      <sz val="10"/>
      <color theme="0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43" fontId="11" fillId="0" borderId="0" applyFont="0" applyFill="0" applyBorder="0" applyAlignment="0" applyProtection="0"/>
    <xf numFmtId="0" fontId="2" fillId="0" borderId="0"/>
    <xf numFmtId="0" fontId="10" fillId="0" borderId="0"/>
    <xf numFmtId="9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678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1" xfId="2" applyFont="1" applyBorder="1" applyAlignment="1">
      <alignment horizontal="center" vertical="center" textRotation="90" wrapText="1"/>
    </xf>
    <xf numFmtId="0" fontId="3" fillId="0" borderId="3" xfId="2" applyFont="1" applyBorder="1" applyAlignment="1">
      <alignment horizontal="center"/>
    </xf>
    <xf numFmtId="0" fontId="3" fillId="0" borderId="4" xfId="2" applyFont="1" applyBorder="1" applyAlignment="1">
      <alignment horizontal="center"/>
    </xf>
    <xf numFmtId="49" fontId="3" fillId="0" borderId="3" xfId="2" applyNumberFormat="1" applyFont="1" applyBorder="1" applyAlignment="1">
      <alignment horizontal="center"/>
    </xf>
    <xf numFmtId="49" fontId="3" fillId="0" borderId="4" xfId="2" applyNumberFormat="1" applyFont="1" applyBorder="1" applyAlignment="1">
      <alignment horizontal="center"/>
    </xf>
    <xf numFmtId="0" fontId="3" fillId="0" borderId="4" xfId="2" applyFont="1" applyBorder="1"/>
    <xf numFmtId="0" fontId="2" fillId="0" borderId="0" xfId="2"/>
    <xf numFmtId="0" fontId="2" fillId="0" borderId="3" xfId="2" applyBorder="1"/>
    <xf numFmtId="0" fontId="2" fillId="0" borderId="4" xfId="2" applyBorder="1"/>
    <xf numFmtId="0" fontId="3" fillId="0" borderId="3" xfId="2" applyFont="1" applyBorder="1"/>
    <xf numFmtId="0" fontId="4" fillId="0" borderId="4" xfId="2" applyFont="1" applyBorder="1"/>
    <xf numFmtId="3" fontId="3" fillId="0" borderId="4" xfId="2" applyNumberFormat="1" applyFont="1" applyBorder="1"/>
    <xf numFmtId="0" fontId="2" fillId="0" borderId="5" xfId="2" applyBorder="1"/>
    <xf numFmtId="0" fontId="2" fillId="0" borderId="6" xfId="2" applyBorder="1"/>
    <xf numFmtId="0" fontId="2" fillId="0" borderId="0" xfId="2" applyAlignment="1">
      <alignment horizontal="center"/>
    </xf>
    <xf numFmtId="3" fontId="3" fillId="0" borderId="4" xfId="2" applyNumberFormat="1" applyFont="1" applyBorder="1" applyAlignment="1">
      <alignment horizontal="right"/>
    </xf>
    <xf numFmtId="0" fontId="3" fillId="0" borderId="4" xfId="2" applyFont="1" applyBorder="1" applyAlignment="1">
      <alignment horizontal="left"/>
    </xf>
    <xf numFmtId="0" fontId="3" fillId="0" borderId="7" xfId="2" applyFont="1" applyBorder="1"/>
    <xf numFmtId="0" fontId="0" fillId="0" borderId="4" xfId="0" applyBorder="1"/>
    <xf numFmtId="0" fontId="2" fillId="0" borderId="8" xfId="2" applyBorder="1"/>
    <xf numFmtId="0" fontId="3" fillId="0" borderId="8" xfId="2" applyFont="1" applyBorder="1"/>
    <xf numFmtId="0" fontId="3" fillId="0" borderId="4" xfId="0" applyFont="1" applyBorder="1"/>
    <xf numFmtId="0" fontId="2" fillId="0" borderId="9" xfId="2" applyBorder="1"/>
    <xf numFmtId="0" fontId="2" fillId="0" borderId="5" xfId="2" applyBorder="1" applyAlignment="1">
      <alignment horizontal="center"/>
    </xf>
    <xf numFmtId="3" fontId="2" fillId="0" borderId="4" xfId="2" applyNumberFormat="1" applyBorder="1"/>
    <xf numFmtId="3" fontId="4" fillId="0" borderId="4" xfId="2" applyNumberFormat="1" applyFont="1" applyBorder="1"/>
    <xf numFmtId="3" fontId="2" fillId="0" borderId="6" xfId="2" applyNumberFormat="1" applyBorder="1"/>
    <xf numFmtId="0" fontId="2" fillId="0" borderId="0" xfId="2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4" xfId="2" applyFont="1" applyBorder="1" applyAlignment="1">
      <alignment horizontal="left"/>
    </xf>
    <xf numFmtId="0" fontId="0" fillId="0" borderId="10" xfId="0" applyBorder="1"/>
    <xf numFmtId="3" fontId="4" fillId="0" borderId="4" xfId="2" applyNumberFormat="1" applyFont="1" applyBorder="1" applyAlignment="1">
      <alignment horizontal="right"/>
    </xf>
    <xf numFmtId="0" fontId="4" fillId="0" borderId="4" xfId="0" applyFont="1" applyBorder="1"/>
    <xf numFmtId="0" fontId="3" fillId="0" borderId="0" xfId="0" applyFont="1"/>
    <xf numFmtId="0" fontId="3" fillId="0" borderId="12" xfId="2" applyFont="1" applyBorder="1"/>
    <xf numFmtId="0" fontId="2" fillId="0" borderId="13" xfId="2" applyBorder="1" applyAlignment="1">
      <alignment horizontal="center"/>
    </xf>
    <xf numFmtId="0" fontId="2" fillId="0" borderId="14" xfId="2" applyBorder="1"/>
    <xf numFmtId="3" fontId="2" fillId="0" borderId="15" xfId="2" applyNumberFormat="1" applyBorder="1"/>
    <xf numFmtId="2" fontId="3" fillId="0" borderId="0" xfId="2" applyNumberFormat="1" applyFont="1"/>
    <xf numFmtId="3" fontId="2" fillId="0" borderId="0" xfId="2" applyNumberFormat="1"/>
    <xf numFmtId="3" fontId="3" fillId="0" borderId="0" xfId="2" applyNumberFormat="1" applyFont="1"/>
    <xf numFmtId="0" fontId="4" fillId="0" borderId="0" xfId="2" applyFont="1"/>
    <xf numFmtId="0" fontId="4" fillId="0" borderId="3" xfId="2" applyFont="1" applyBorder="1"/>
    <xf numFmtId="0" fontId="4" fillId="0" borderId="0" xfId="0" applyFont="1"/>
    <xf numFmtId="3" fontId="0" fillId="0" borderId="0" xfId="0" applyNumberFormat="1"/>
    <xf numFmtId="0" fontId="3" fillId="2" borderId="4" xfId="0" applyFont="1" applyFill="1" applyBorder="1" applyAlignment="1">
      <alignment horizontal="center"/>
    </xf>
    <xf numFmtId="3" fontId="3" fillId="0" borderId="0" xfId="2" applyNumberFormat="1" applyFont="1" applyAlignment="1">
      <alignment horizontal="center"/>
    </xf>
    <xf numFmtId="0" fontId="5" fillId="0" borderId="0" xfId="2" applyFont="1" applyAlignment="1">
      <alignment horizontal="left"/>
    </xf>
    <xf numFmtId="4" fontId="2" fillId="0" borderId="0" xfId="2" applyNumberFormat="1"/>
    <xf numFmtId="0" fontId="3" fillId="0" borderId="10" xfId="2" applyFont="1" applyBorder="1" applyAlignment="1">
      <alignment horizontal="center"/>
    </xf>
    <xf numFmtId="3" fontId="3" fillId="0" borderId="4" xfId="2" applyNumberFormat="1" applyFont="1" applyBorder="1" applyAlignment="1">
      <alignment horizontal="center"/>
    </xf>
    <xf numFmtId="3" fontId="3" fillId="0" borderId="6" xfId="2" applyNumberFormat="1" applyFont="1" applyBorder="1"/>
    <xf numFmtId="3" fontId="4" fillId="0" borderId="0" xfId="0" applyNumberFormat="1" applyFont="1"/>
    <xf numFmtId="5" fontId="9" fillId="0" borderId="14" xfId="2" applyNumberFormat="1" applyFont="1" applyBorder="1"/>
    <xf numFmtId="0" fontId="2" fillId="0" borderId="3" xfId="2" applyBorder="1" applyAlignment="1">
      <alignment vertical="center"/>
    </xf>
    <xf numFmtId="0" fontId="2" fillId="0" borderId="4" xfId="2" applyBorder="1" applyAlignment="1">
      <alignment vertical="center"/>
    </xf>
    <xf numFmtId="0" fontId="2" fillId="0" borderId="8" xfId="2" applyBorder="1" applyAlignment="1">
      <alignment vertical="center"/>
    </xf>
    <xf numFmtId="0" fontId="2" fillId="0" borderId="0" xfId="2" applyAlignment="1">
      <alignment vertical="center"/>
    </xf>
    <xf numFmtId="0" fontId="4" fillId="0" borderId="4" xfId="2" applyFont="1" applyBorder="1" applyAlignment="1">
      <alignment vertical="center"/>
    </xf>
    <xf numFmtId="0" fontId="8" fillId="0" borderId="0" xfId="0" applyFont="1"/>
    <xf numFmtId="0" fontId="12" fillId="0" borderId="0" xfId="0" applyFont="1"/>
    <xf numFmtId="3" fontId="4" fillId="0" borderId="4" xfId="0" applyNumberFormat="1" applyFont="1" applyBorder="1" applyAlignment="1">
      <alignment horizontal="right" vertical="center"/>
    </xf>
    <xf numFmtId="3" fontId="0" fillId="0" borderId="4" xfId="0" applyNumberFormat="1" applyBorder="1"/>
    <xf numFmtId="3" fontId="3" fillId="0" borderId="4" xfId="0" applyNumberFormat="1" applyFont="1" applyBorder="1"/>
    <xf numFmtId="0" fontId="0" fillId="0" borderId="4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3" fillId="2" borderId="0" xfId="0" applyFont="1" applyFill="1"/>
    <xf numFmtId="0" fontId="3" fillId="2" borderId="4" xfId="0" applyFont="1" applyFill="1" applyBorder="1"/>
    <xf numFmtId="3" fontId="3" fillId="2" borderId="4" xfId="0" applyNumberFormat="1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3" fontId="3" fillId="2" borderId="0" xfId="0" applyNumberFormat="1" applyFont="1" applyFill="1"/>
    <xf numFmtId="0" fontId="0" fillId="0" borderId="14" xfId="0" applyBorder="1"/>
    <xf numFmtId="0" fontId="18" fillId="0" borderId="0" xfId="0" applyFont="1"/>
    <xf numFmtId="0" fontId="19" fillId="0" borderId="0" xfId="0" applyFont="1" applyAlignment="1">
      <alignment horizontal="centerContinuous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Continuous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Continuous" vertical="center" wrapText="1"/>
    </xf>
    <xf numFmtId="0" fontId="3" fillId="0" borderId="11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left" vertical="center" wrapText="1"/>
    </xf>
    <xf numFmtId="4" fontId="4" fillId="0" borderId="4" xfId="0" applyNumberFormat="1" applyFont="1" applyBorder="1"/>
    <xf numFmtId="3" fontId="3" fillId="0" borderId="0" xfId="0" applyNumberFormat="1" applyFont="1"/>
    <xf numFmtId="2" fontId="3" fillId="0" borderId="0" xfId="0" applyNumberFormat="1" applyFont="1" applyAlignment="1">
      <alignment horizontal="right"/>
    </xf>
    <xf numFmtId="10" fontId="0" fillId="0" borderId="0" xfId="0" applyNumberFormat="1"/>
    <xf numFmtId="3" fontId="10" fillId="0" borderId="4" xfId="3" applyNumberFormat="1" applyBorder="1"/>
    <xf numFmtId="3" fontId="3" fillId="0" borderId="4" xfId="3" applyNumberFormat="1" applyFont="1" applyBorder="1"/>
    <xf numFmtId="3" fontId="10" fillId="0" borderId="10" xfId="3" applyNumberFormat="1" applyBorder="1"/>
    <xf numFmtId="3" fontId="3" fillId="0" borderId="10" xfId="3" applyNumberFormat="1" applyFont="1" applyBorder="1"/>
    <xf numFmtId="0" fontId="23" fillId="0" borderId="4" xfId="2" applyFont="1" applyBorder="1"/>
    <xf numFmtId="3" fontId="23" fillId="0" borderId="4" xfId="2" applyNumberFormat="1" applyFont="1" applyBorder="1"/>
    <xf numFmtId="0" fontId="4" fillId="0" borderId="3" xfId="2" applyFont="1" applyBorder="1" applyAlignment="1">
      <alignment horizontal="center" vertical="top"/>
    </xf>
    <xf numFmtId="0" fontId="2" fillId="0" borderId="3" xfId="2" applyBorder="1" applyAlignment="1">
      <alignment horizontal="center" vertical="top"/>
    </xf>
    <xf numFmtId="0" fontId="23" fillId="0" borderId="3" xfId="2" applyFont="1" applyBorder="1" applyAlignment="1">
      <alignment horizontal="right" vertical="top"/>
    </xf>
    <xf numFmtId="0" fontId="3" fillId="0" borderId="14" xfId="2" applyFont="1" applyBorder="1" applyAlignment="1">
      <alignment horizontal="right"/>
    </xf>
    <xf numFmtId="0" fontId="0" fillId="0" borderId="0" xfId="0" applyAlignment="1">
      <alignment wrapText="1"/>
    </xf>
    <xf numFmtId="3" fontId="12" fillId="0" borderId="0" xfId="0" applyNumberFormat="1" applyFont="1"/>
    <xf numFmtId="3" fontId="8" fillId="0" borderId="0" xfId="0" applyNumberFormat="1" applyFont="1"/>
    <xf numFmtId="4" fontId="8" fillId="0" borderId="0" xfId="0" applyNumberFormat="1" applyFont="1"/>
    <xf numFmtId="0" fontId="8" fillId="0" borderId="4" xfId="0" applyFont="1" applyBorder="1" applyAlignment="1">
      <alignment horizontal="center"/>
    </xf>
    <xf numFmtId="3" fontId="2" fillId="0" borderId="10" xfId="2" applyNumberFormat="1" applyBorder="1"/>
    <xf numFmtId="3" fontId="3" fillId="3" borderId="10" xfId="2" applyNumberFormat="1" applyFont="1" applyFill="1" applyBorder="1"/>
    <xf numFmtId="3" fontId="4" fillId="0" borderId="10" xfId="2" applyNumberFormat="1" applyFont="1" applyBorder="1"/>
    <xf numFmtId="3" fontId="3" fillId="0" borderId="10" xfId="2" applyNumberFormat="1" applyFont="1" applyBorder="1" applyAlignment="1">
      <alignment horizontal="right"/>
    </xf>
    <xf numFmtId="3" fontId="3" fillId="0" borderId="10" xfId="2" applyNumberFormat="1" applyFont="1" applyBorder="1"/>
    <xf numFmtId="3" fontId="3" fillId="3" borderId="4" xfId="2" applyNumberFormat="1" applyFont="1" applyFill="1" applyBorder="1"/>
    <xf numFmtId="0" fontId="2" fillId="0" borderId="14" xfId="2" applyBorder="1" applyAlignment="1">
      <alignment horizontal="center"/>
    </xf>
    <xf numFmtId="0" fontId="24" fillId="0" borderId="4" xfId="2" applyFont="1" applyBorder="1" applyAlignment="1">
      <alignment horizontal="center"/>
    </xf>
    <xf numFmtId="0" fontId="26" fillId="0" borderId="4" xfId="2" applyFont="1" applyBorder="1" applyAlignment="1">
      <alignment horizontal="center"/>
    </xf>
    <xf numFmtId="0" fontId="26" fillId="0" borderId="6" xfId="2" applyFont="1" applyBorder="1" applyAlignment="1">
      <alignment horizontal="center"/>
    </xf>
    <xf numFmtId="0" fontId="26" fillId="0" borderId="0" xfId="2" applyFont="1" applyAlignment="1">
      <alignment horizontal="center"/>
    </xf>
    <xf numFmtId="0" fontId="26" fillId="0" borderId="4" xfId="2" applyFont="1" applyBorder="1" applyAlignment="1">
      <alignment horizontal="center" vertical="center"/>
    </xf>
    <xf numFmtId="0" fontId="26" fillId="0" borderId="12" xfId="2" applyFont="1" applyBorder="1" applyAlignment="1">
      <alignment horizontal="center"/>
    </xf>
    <xf numFmtId="0" fontId="26" fillId="0" borderId="11" xfId="2" applyFont="1" applyBorder="1" applyAlignment="1">
      <alignment horizontal="center"/>
    </xf>
    <xf numFmtId="0" fontId="26" fillId="0" borderId="10" xfId="2" applyFont="1" applyBorder="1" applyAlignment="1">
      <alignment horizontal="center"/>
    </xf>
    <xf numFmtId="0" fontId="24" fillId="0" borderId="16" xfId="2" applyFont="1" applyBorder="1" applyAlignment="1">
      <alignment horizontal="center"/>
    </xf>
    <xf numFmtId="0" fontId="24" fillId="0" borderId="11" xfId="2" applyFont="1" applyBorder="1" applyAlignment="1">
      <alignment horizontal="center"/>
    </xf>
    <xf numFmtId="0" fontId="17" fillId="0" borderId="10" xfId="2" applyFont="1" applyBorder="1" applyAlignment="1">
      <alignment horizontal="center"/>
    </xf>
    <xf numFmtId="0" fontId="16" fillId="0" borderId="10" xfId="2" applyFont="1" applyBorder="1" applyAlignment="1">
      <alignment horizontal="center" vertical="top"/>
    </xf>
    <xf numFmtId="0" fontId="27" fillId="0" borderId="10" xfId="2" applyFont="1" applyBorder="1" applyAlignment="1">
      <alignment horizontal="center" vertical="top"/>
    </xf>
    <xf numFmtId="0" fontId="16" fillId="0" borderId="10" xfId="2" applyFont="1" applyBorder="1" applyAlignment="1">
      <alignment horizontal="center"/>
    </xf>
    <xf numFmtId="0" fontId="16" fillId="0" borderId="30" xfId="2" applyFont="1" applyBorder="1" applyAlignment="1">
      <alignment horizontal="center"/>
    </xf>
    <xf numFmtId="0" fontId="17" fillId="0" borderId="4" xfId="2" applyFont="1" applyBorder="1" applyAlignment="1">
      <alignment horizontal="center"/>
    </xf>
    <xf numFmtId="0" fontId="16" fillId="0" borderId="4" xfId="2" applyFont="1" applyBorder="1" applyAlignment="1">
      <alignment horizontal="center"/>
    </xf>
    <xf numFmtId="0" fontId="16" fillId="0" borderId="6" xfId="2" applyFont="1" applyBorder="1" applyAlignment="1">
      <alignment horizontal="center"/>
    </xf>
    <xf numFmtId="0" fontId="16" fillId="0" borderId="0" xfId="2" applyFont="1" applyAlignment="1">
      <alignment horizontal="center"/>
    </xf>
    <xf numFmtId="0" fontId="16" fillId="0" borderId="4" xfId="2" applyFont="1" applyBorder="1" applyAlignment="1">
      <alignment horizontal="center" vertical="center"/>
    </xf>
    <xf numFmtId="0" fontId="16" fillId="0" borderId="12" xfId="2" applyFont="1" applyBorder="1" applyAlignment="1">
      <alignment horizontal="center"/>
    </xf>
    <xf numFmtId="0" fontId="16" fillId="0" borderId="11" xfId="2" applyFont="1" applyBorder="1" applyAlignment="1">
      <alignment horizontal="center"/>
    </xf>
    <xf numFmtId="49" fontId="16" fillId="0" borderId="10" xfId="0" applyNumberFormat="1" applyFont="1" applyBorder="1" applyAlignment="1">
      <alignment horizontal="center"/>
    </xf>
    <xf numFmtId="49" fontId="16" fillId="0" borderId="16" xfId="0" applyNumberFormat="1" applyFont="1" applyBorder="1" applyAlignment="1">
      <alignment horizontal="center"/>
    </xf>
    <xf numFmtId="0" fontId="17" fillId="0" borderId="16" xfId="2" applyFont="1" applyBorder="1" applyAlignment="1">
      <alignment horizontal="center"/>
    </xf>
    <xf numFmtId="0" fontId="17" fillId="0" borderId="11" xfId="2" applyFont="1" applyBorder="1" applyAlignment="1">
      <alignment horizontal="center"/>
    </xf>
    <xf numFmtId="5" fontId="20" fillId="0" borderId="14" xfId="0" applyNumberFormat="1" applyFont="1" applyBorder="1"/>
    <xf numFmtId="4" fontId="20" fillId="0" borderId="0" xfId="2" applyNumberFormat="1" applyFont="1"/>
    <xf numFmtId="4" fontId="20" fillId="0" borderId="15" xfId="2" applyNumberFormat="1" applyFont="1" applyBorder="1"/>
    <xf numFmtId="49" fontId="26" fillId="0" borderId="4" xfId="0" applyNumberFormat="1" applyFont="1" applyBorder="1" applyAlignment="1">
      <alignment horizontal="center"/>
    </xf>
    <xf numFmtId="49" fontId="26" fillId="0" borderId="12" xfId="0" applyNumberFormat="1" applyFont="1" applyBorder="1" applyAlignment="1">
      <alignment horizontal="center"/>
    </xf>
    <xf numFmtId="0" fontId="1" fillId="0" borderId="4" xfId="2" applyFont="1" applyBorder="1"/>
    <xf numFmtId="3" fontId="4" fillId="0" borderId="10" xfId="11" applyNumberFormat="1" applyFont="1" applyBorder="1"/>
    <xf numFmtId="3" fontId="8" fillId="0" borderId="4" xfId="11" applyNumberFormat="1" applyFont="1" applyBorder="1"/>
    <xf numFmtId="3" fontId="1" fillId="0" borderId="4" xfId="11" applyNumberFormat="1" applyBorder="1"/>
    <xf numFmtId="3" fontId="4" fillId="6" borderId="4" xfId="11" applyNumberFormat="1" applyFont="1" applyFill="1" applyBorder="1"/>
    <xf numFmtId="3" fontId="3" fillId="0" borderId="4" xfId="11" applyNumberFormat="1" applyFont="1" applyBorder="1"/>
    <xf numFmtId="3" fontId="4" fillId="0" borderId="4" xfId="11" applyNumberFormat="1" applyFont="1" applyBorder="1"/>
    <xf numFmtId="3" fontId="3" fillId="3" borderId="4" xfId="11" applyNumberFormat="1" applyFont="1" applyFill="1" applyBorder="1"/>
    <xf numFmtId="5" fontId="17" fillId="0" borderId="14" xfId="2" applyNumberFormat="1" applyFont="1" applyBorder="1"/>
    <xf numFmtId="5" fontId="3" fillId="0" borderId="0" xfId="2" applyNumberFormat="1" applyFont="1"/>
    <xf numFmtId="0" fontId="3" fillId="0" borderId="12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center" vertical="center" textRotation="90" wrapText="1"/>
    </xf>
    <xf numFmtId="0" fontId="6" fillId="0" borderId="0" xfId="2" applyFont="1"/>
    <xf numFmtId="3" fontId="6" fillId="0" borderId="0" xfId="2" applyNumberFormat="1" applyFont="1"/>
    <xf numFmtId="3" fontId="6" fillId="0" borderId="15" xfId="2" applyNumberFormat="1" applyFont="1" applyBorder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5" borderId="3" xfId="2" applyFont="1" applyFill="1" applyBorder="1" applyAlignment="1">
      <alignment horizontal="center"/>
    </xf>
    <xf numFmtId="0" fontId="3" fillId="5" borderId="10" xfId="2" applyFont="1" applyFill="1" applyBorder="1" applyAlignment="1">
      <alignment horizontal="center"/>
    </xf>
    <xf numFmtId="0" fontId="3" fillId="5" borderId="4" xfId="2" applyFont="1" applyFill="1" applyBorder="1" applyAlignment="1">
      <alignment horizontal="left"/>
    </xf>
    <xf numFmtId="3" fontId="3" fillId="5" borderId="4" xfId="2" applyNumberFormat="1" applyFont="1" applyFill="1" applyBorder="1" applyAlignment="1">
      <alignment horizontal="right"/>
    </xf>
    <xf numFmtId="0" fontId="3" fillId="5" borderId="3" xfId="2" applyFont="1" applyFill="1" applyBorder="1" applyAlignment="1">
      <alignment horizontal="center" vertical="top"/>
    </xf>
    <xf numFmtId="0" fontId="17" fillId="5" borderId="10" xfId="2" applyFont="1" applyFill="1" applyBorder="1" applyAlignment="1">
      <alignment horizontal="center" vertical="top"/>
    </xf>
    <xf numFmtId="0" fontId="3" fillId="5" borderId="4" xfId="2" applyFont="1" applyFill="1" applyBorder="1"/>
    <xf numFmtId="3" fontId="3" fillId="5" borderId="4" xfId="2" applyNumberFormat="1" applyFont="1" applyFill="1" applyBorder="1"/>
    <xf numFmtId="0" fontId="21" fillId="2" borderId="2" xfId="0" applyFont="1" applyFill="1" applyBorder="1" applyAlignment="1">
      <alignment horizontal="center" vertical="center" wrapText="1"/>
    </xf>
    <xf numFmtId="0" fontId="29" fillId="0" borderId="0" xfId="0" applyFont="1"/>
    <xf numFmtId="3" fontId="1" fillId="0" borderId="4" xfId="0" applyNumberFormat="1" applyFont="1" applyBorder="1"/>
    <xf numFmtId="3" fontId="1" fillId="0" borderId="4" xfId="0" applyNumberFormat="1" applyFont="1" applyBorder="1" applyAlignment="1">
      <alignment horizontal="right" vertical="center"/>
    </xf>
    <xf numFmtId="3" fontId="1" fillId="0" borderId="19" xfId="0" applyNumberFormat="1" applyFont="1" applyBorder="1" applyAlignment="1">
      <alignment horizontal="right" vertical="center"/>
    </xf>
    <xf numFmtId="0" fontId="25" fillId="5" borderId="4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 wrapText="1"/>
    </xf>
    <xf numFmtId="0" fontId="25" fillId="5" borderId="4" xfId="0" applyFont="1" applyFill="1" applyBorder="1"/>
    <xf numFmtId="3" fontId="25" fillId="5" borderId="4" xfId="0" applyNumberFormat="1" applyFont="1" applyFill="1" applyBorder="1"/>
    <xf numFmtId="2" fontId="25" fillId="5" borderId="4" xfId="0" applyNumberFormat="1" applyFont="1" applyFill="1" applyBorder="1"/>
    <xf numFmtId="0" fontId="20" fillId="0" borderId="4" xfId="0" applyFont="1" applyBorder="1"/>
    <xf numFmtId="0" fontId="31" fillId="0" borderId="4" xfId="0" applyFont="1" applyBorder="1" applyAlignment="1">
      <alignment horizontal="center"/>
    </xf>
    <xf numFmtId="3" fontId="20" fillId="0" borderId="4" xfId="0" applyNumberFormat="1" applyFont="1" applyBorder="1"/>
    <xf numFmtId="2" fontId="20" fillId="0" borderId="4" xfId="0" applyNumberFormat="1" applyFont="1" applyBorder="1" applyAlignment="1">
      <alignment horizontal="right"/>
    </xf>
    <xf numFmtId="0" fontId="20" fillId="0" borderId="4" xfId="0" applyFont="1" applyBorder="1" applyAlignment="1">
      <alignment horizontal="left" vertical="center"/>
    </xf>
    <xf numFmtId="0" fontId="31" fillId="0" borderId="4" xfId="0" applyFont="1" applyBorder="1" applyAlignment="1">
      <alignment horizontal="center" vertical="center"/>
    </xf>
    <xf numFmtId="3" fontId="20" fillId="0" borderId="4" xfId="0" applyNumberFormat="1" applyFont="1" applyBorder="1" applyAlignment="1">
      <alignment horizontal="right" vertical="center"/>
    </xf>
    <xf numFmtId="2" fontId="20" fillId="0" borderId="4" xfId="0" applyNumberFormat="1" applyFont="1" applyBorder="1" applyAlignment="1">
      <alignment horizontal="right" vertical="center"/>
    </xf>
    <xf numFmtId="0" fontId="25" fillId="4" borderId="4" xfId="0" applyFont="1" applyFill="1" applyBorder="1"/>
    <xf numFmtId="0" fontId="32" fillId="4" borderId="4" xfId="0" applyFont="1" applyFill="1" applyBorder="1" applyAlignment="1">
      <alignment horizontal="center"/>
    </xf>
    <xf numFmtId="3" fontId="25" fillId="4" borderId="4" xfId="0" applyNumberFormat="1" applyFont="1" applyFill="1" applyBorder="1"/>
    <xf numFmtId="2" fontId="25" fillId="4" borderId="4" xfId="0" applyNumberFormat="1" applyFont="1" applyFill="1" applyBorder="1" applyAlignment="1">
      <alignment horizontal="right" vertical="center"/>
    </xf>
    <xf numFmtId="0" fontId="25" fillId="0" borderId="0" xfId="0" applyFont="1"/>
    <xf numFmtId="0" fontId="20" fillId="0" borderId="19" xfId="0" applyFont="1" applyBorder="1" applyAlignment="1">
      <alignment horizontal="left" vertical="center"/>
    </xf>
    <xf numFmtId="0" fontId="31" fillId="0" borderId="19" xfId="0" applyFont="1" applyBorder="1" applyAlignment="1">
      <alignment horizontal="center" vertical="center"/>
    </xf>
    <xf numFmtId="3" fontId="20" fillId="0" borderId="19" xfId="0" applyNumberFormat="1" applyFont="1" applyBorder="1" applyAlignment="1">
      <alignment horizontal="right" vertical="center"/>
    </xf>
    <xf numFmtId="2" fontId="20" fillId="0" borderId="19" xfId="0" applyNumberFormat="1" applyFont="1" applyBorder="1" applyAlignment="1">
      <alignment horizontal="right" vertical="center"/>
    </xf>
    <xf numFmtId="0" fontId="25" fillId="4" borderId="19" xfId="0" applyFont="1" applyFill="1" applyBorder="1" applyAlignment="1">
      <alignment horizontal="left" vertical="center"/>
    </xf>
    <xf numFmtId="0" fontId="32" fillId="4" borderId="19" xfId="0" applyFont="1" applyFill="1" applyBorder="1" applyAlignment="1">
      <alignment horizontal="center" vertical="center"/>
    </xf>
    <xf numFmtId="3" fontId="25" fillId="4" borderId="19" xfId="0" applyNumberFormat="1" applyFont="1" applyFill="1" applyBorder="1"/>
    <xf numFmtId="2" fontId="25" fillId="4" borderId="19" xfId="0" applyNumberFormat="1" applyFont="1" applyFill="1" applyBorder="1" applyAlignment="1">
      <alignment horizontal="right" vertical="center"/>
    </xf>
    <xf numFmtId="0" fontId="25" fillId="4" borderId="20" xfId="0" applyFont="1" applyFill="1" applyBorder="1"/>
    <xf numFmtId="0" fontId="32" fillId="4" borderId="20" xfId="0" applyFont="1" applyFill="1" applyBorder="1" applyAlignment="1">
      <alignment horizontal="center"/>
    </xf>
    <xf numFmtId="3" fontId="25" fillId="4" borderId="20" xfId="0" applyNumberFormat="1" applyFont="1" applyFill="1" applyBorder="1"/>
    <xf numFmtId="2" fontId="25" fillId="4" borderId="20" xfId="0" applyNumberFormat="1" applyFont="1" applyFill="1" applyBorder="1" applyAlignment="1">
      <alignment horizontal="right" vertical="center"/>
    </xf>
    <xf numFmtId="3" fontId="25" fillId="4" borderId="19" xfId="0" applyNumberFormat="1" applyFont="1" applyFill="1" applyBorder="1" applyAlignment="1">
      <alignment vertical="center"/>
    </xf>
    <xf numFmtId="0" fontId="25" fillId="4" borderId="4" xfId="0" applyFont="1" applyFill="1" applyBorder="1" applyAlignment="1">
      <alignment wrapText="1"/>
    </xf>
    <xf numFmtId="0" fontId="32" fillId="4" borderId="4" xfId="0" applyFont="1" applyFill="1" applyBorder="1" applyAlignment="1">
      <alignment horizontal="center" wrapText="1"/>
    </xf>
    <xf numFmtId="3" fontId="25" fillId="4" borderId="4" xfId="0" applyNumberFormat="1" applyFont="1" applyFill="1" applyBorder="1" applyAlignment="1">
      <alignment vertical="center"/>
    </xf>
    <xf numFmtId="0" fontId="25" fillId="0" borderId="21" xfId="0" applyFont="1" applyBorder="1"/>
    <xf numFmtId="0" fontId="32" fillId="0" borderId="21" xfId="0" applyFont="1" applyBorder="1" applyAlignment="1">
      <alignment horizontal="center"/>
    </xf>
    <xf numFmtId="4" fontId="20" fillId="0" borderId="21" xfId="0" applyNumberFormat="1" applyFont="1" applyBorder="1"/>
    <xf numFmtId="2" fontId="20" fillId="0" borderId="21" xfId="0" applyNumberFormat="1" applyFont="1" applyBorder="1" applyAlignment="1">
      <alignment horizontal="right" vertical="center"/>
    </xf>
    <xf numFmtId="3" fontId="20" fillId="0" borderId="0" xfId="0" applyNumberFormat="1" applyFont="1"/>
    <xf numFmtId="0" fontId="8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/>
    <xf numFmtId="3" fontId="8" fillId="4" borderId="4" xfId="0" applyNumberFormat="1" applyFont="1" applyFill="1" applyBorder="1"/>
    <xf numFmtId="3" fontId="8" fillId="4" borderId="19" xfId="0" applyNumberFormat="1" applyFont="1" applyFill="1" applyBorder="1"/>
    <xf numFmtId="3" fontId="8" fillId="4" borderId="20" xfId="0" applyNumberFormat="1" applyFont="1" applyFill="1" applyBorder="1"/>
    <xf numFmtId="3" fontId="8" fillId="4" borderId="19" xfId="0" applyNumberFormat="1" applyFont="1" applyFill="1" applyBorder="1" applyAlignment="1">
      <alignment vertical="center"/>
    </xf>
    <xf numFmtId="3" fontId="8" fillId="4" borderId="4" xfId="0" applyNumberFormat="1" applyFont="1" applyFill="1" applyBorder="1" applyAlignment="1">
      <alignment vertical="center"/>
    </xf>
    <xf numFmtId="4" fontId="1" fillId="0" borderId="21" xfId="0" applyNumberFormat="1" applyFont="1" applyBorder="1"/>
    <xf numFmtId="0" fontId="33" fillId="0" borderId="0" xfId="0" applyFont="1"/>
    <xf numFmtId="0" fontId="34" fillId="0" borderId="4" xfId="0" applyFont="1" applyBorder="1" applyAlignment="1">
      <alignment horizontal="center"/>
    </xf>
    <xf numFmtId="0" fontId="34" fillId="0" borderId="4" xfId="0" applyFont="1" applyBorder="1" applyAlignment="1">
      <alignment horizontal="center" wrapText="1"/>
    </xf>
    <xf numFmtId="0" fontId="0" fillId="0" borderId="38" xfId="0" applyBorder="1"/>
    <xf numFmtId="0" fontId="26" fillId="0" borderId="47" xfId="0" applyFont="1" applyBorder="1" applyAlignment="1">
      <alignment horizontal="center"/>
    </xf>
    <xf numFmtId="0" fontId="26" fillId="0" borderId="0" xfId="0" applyFont="1"/>
    <xf numFmtId="0" fontId="26" fillId="0" borderId="39" xfId="0" applyFont="1" applyBorder="1" applyAlignment="1">
      <alignment horizontal="center"/>
    </xf>
    <xf numFmtId="0" fontId="26" fillId="0" borderId="43" xfId="0" applyFont="1" applyBorder="1" applyAlignment="1">
      <alignment horizontal="center"/>
    </xf>
    <xf numFmtId="0" fontId="4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 wrapText="1"/>
    </xf>
    <xf numFmtId="3" fontId="3" fillId="5" borderId="4" xfId="0" applyNumberFormat="1" applyFont="1" applyFill="1" applyBorder="1" applyAlignment="1">
      <alignment horizontal="right" vertical="center"/>
    </xf>
    <xf numFmtId="4" fontId="3" fillId="5" borderId="4" xfId="0" applyNumberFormat="1" applyFont="1" applyFill="1" applyBorder="1" applyAlignment="1">
      <alignment vertical="center"/>
    </xf>
    <xf numFmtId="49" fontId="3" fillId="5" borderId="4" xfId="0" applyNumberFormat="1" applyFont="1" applyFill="1" applyBorder="1" applyAlignment="1">
      <alignment horizontal="center" vertical="center" wrapText="1"/>
    </xf>
    <xf numFmtId="167" fontId="3" fillId="5" borderId="4" xfId="0" applyNumberFormat="1" applyFont="1" applyFill="1" applyBorder="1" applyAlignment="1">
      <alignment horizontal="left" vertical="center" wrapText="1"/>
    </xf>
    <xf numFmtId="4" fontId="3" fillId="5" borderId="4" xfId="0" applyNumberFormat="1" applyFont="1" applyFill="1" applyBorder="1"/>
    <xf numFmtId="0" fontId="17" fillId="0" borderId="0" xfId="2" applyFont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1" fillId="0" borderId="0" xfId="0" applyFont="1"/>
    <xf numFmtId="0" fontId="1" fillId="0" borderId="4" xfId="0" applyFont="1" applyBorder="1"/>
    <xf numFmtId="3" fontId="8" fillId="0" borderId="4" xfId="11" applyNumberFormat="1" applyFont="1" applyBorder="1" applyAlignment="1">
      <alignment horizontal="right"/>
    </xf>
    <xf numFmtId="3" fontId="8" fillId="0" borderId="8" xfId="11" applyNumberFormat="1" applyFont="1" applyBorder="1"/>
    <xf numFmtId="3" fontId="1" fillId="0" borderId="8" xfId="11" applyNumberFormat="1" applyBorder="1"/>
    <xf numFmtId="0" fontId="2" fillId="0" borderId="10" xfId="2" applyBorder="1"/>
    <xf numFmtId="3" fontId="1" fillId="0" borderId="3" xfId="11" applyNumberFormat="1" applyBorder="1"/>
    <xf numFmtId="3" fontId="4" fillId="0" borderId="3" xfId="11" applyNumberFormat="1" applyFont="1" applyBorder="1"/>
    <xf numFmtId="3" fontId="4" fillId="6" borderId="3" xfId="11" applyNumberFormat="1" applyFont="1" applyFill="1" applyBorder="1"/>
    <xf numFmtId="3" fontId="8" fillId="0" borderId="3" xfId="11" applyNumberFormat="1" applyFont="1" applyBorder="1"/>
    <xf numFmtId="0" fontId="1" fillId="0" borderId="8" xfId="11" applyBorder="1"/>
    <xf numFmtId="0" fontId="3" fillId="0" borderId="8" xfId="2" applyFont="1" applyBorder="1" applyAlignment="1">
      <alignment horizontal="center"/>
    </xf>
    <xf numFmtId="3" fontId="3" fillId="0" borderId="8" xfId="2" applyNumberFormat="1" applyFont="1" applyBorder="1"/>
    <xf numFmtId="0" fontId="3" fillId="0" borderId="22" xfId="2" applyFont="1" applyBorder="1" applyAlignment="1">
      <alignment horizontal="center" vertical="center" wrapText="1"/>
    </xf>
    <xf numFmtId="3" fontId="2" fillId="0" borderId="3" xfId="2" applyNumberFormat="1" applyBorder="1"/>
    <xf numFmtId="3" fontId="3" fillId="0" borderId="3" xfId="2" applyNumberFormat="1" applyFont="1" applyBorder="1"/>
    <xf numFmtId="3" fontId="2" fillId="0" borderId="5" xfId="2" applyNumberFormat="1" applyBorder="1"/>
    <xf numFmtId="3" fontId="2" fillId="0" borderId="8" xfId="2" applyNumberFormat="1" applyBorder="1"/>
    <xf numFmtId="0" fontId="8" fillId="0" borderId="22" xfId="2" applyFont="1" applyBorder="1" applyAlignment="1">
      <alignment horizontal="center" vertical="center" wrapText="1"/>
    </xf>
    <xf numFmtId="3" fontId="3" fillId="6" borderId="4" xfId="11" applyNumberFormat="1" applyFont="1" applyFill="1" applyBorder="1"/>
    <xf numFmtId="3" fontId="1" fillId="6" borderId="4" xfId="11" applyNumberFormat="1" applyFill="1" applyBorder="1"/>
    <xf numFmtId="0" fontId="3" fillId="0" borderId="12" xfId="2" applyFont="1" applyBorder="1" applyAlignment="1">
      <alignment horizontal="center"/>
    </xf>
    <xf numFmtId="3" fontId="3" fillId="0" borderId="4" xfId="11" applyNumberFormat="1" applyFont="1" applyBorder="1" applyAlignment="1">
      <alignment horizontal="right"/>
    </xf>
    <xf numFmtId="3" fontId="3" fillId="0" borderId="8" xfId="2" applyNumberFormat="1" applyFont="1" applyBorder="1" applyAlignment="1">
      <alignment horizontal="center"/>
    </xf>
    <xf numFmtId="3" fontId="3" fillId="0" borderId="3" xfId="2" applyNumberFormat="1" applyFont="1" applyBorder="1" applyAlignment="1">
      <alignment horizontal="center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1" fillId="0" borderId="4" xfId="11" applyBorder="1"/>
    <xf numFmtId="3" fontId="4" fillId="0" borderId="4" xfId="11" applyNumberFormat="1" applyFont="1" applyBorder="1" applyAlignment="1">
      <alignment vertical="center"/>
    </xf>
    <xf numFmtId="3" fontId="3" fillId="0" borderId="5" xfId="2" applyNumberFormat="1" applyFont="1" applyBorder="1"/>
    <xf numFmtId="0" fontId="1" fillId="0" borderId="0" xfId="2" applyFont="1" applyAlignment="1">
      <alignment horizontal="center"/>
    </xf>
    <xf numFmtId="0" fontId="1" fillId="0" borderId="0" xfId="2" applyFont="1"/>
    <xf numFmtId="0" fontId="35" fillId="0" borderId="0" xfId="2" applyFont="1" applyAlignment="1">
      <alignment vertical="center"/>
    </xf>
    <xf numFmtId="0" fontId="26" fillId="0" borderId="53" xfId="0" applyFont="1" applyBorder="1" applyAlignment="1">
      <alignment horizontal="center"/>
    </xf>
    <xf numFmtId="0" fontId="26" fillId="0" borderId="0" xfId="0" applyFont="1" applyAlignment="1">
      <alignment horizontal="left"/>
    </xf>
    <xf numFmtId="3" fontId="8" fillId="0" borderId="4" xfId="2" applyNumberFormat="1" applyFont="1" applyBorder="1"/>
    <xf numFmtId="0" fontId="2" fillId="0" borderId="12" xfId="2" applyBorder="1"/>
    <xf numFmtId="0" fontId="2" fillId="0" borderId="11" xfId="2" applyBorder="1"/>
    <xf numFmtId="0" fontId="2" fillId="0" borderId="24" xfId="2" applyBorder="1"/>
    <xf numFmtId="0" fontId="2" fillId="0" borderId="16" xfId="2" applyBorder="1"/>
    <xf numFmtId="0" fontId="3" fillId="0" borderId="11" xfId="2" applyFont="1" applyBorder="1"/>
    <xf numFmtId="49" fontId="24" fillId="0" borderId="4" xfId="2" applyNumberFormat="1" applyFont="1" applyBorder="1" applyAlignment="1">
      <alignment horizontal="center"/>
    </xf>
    <xf numFmtId="49" fontId="24" fillId="0" borderId="4" xfId="2" applyNumberFormat="1" applyFont="1" applyBorder="1"/>
    <xf numFmtId="49" fontId="26" fillId="0" borderId="8" xfId="2" applyNumberFormat="1" applyFont="1" applyBorder="1" applyAlignment="1">
      <alignment vertical="center"/>
    </xf>
    <xf numFmtId="49" fontId="26" fillId="0" borderId="12" xfId="2" applyNumberFormat="1" applyFont="1" applyBorder="1"/>
    <xf numFmtId="49" fontId="26" fillId="0" borderId="4" xfId="2" applyNumberFormat="1" applyFont="1" applyBorder="1"/>
    <xf numFmtId="49" fontId="26" fillId="0" borderId="4" xfId="2" applyNumberFormat="1" applyFont="1" applyBorder="1" applyAlignment="1">
      <alignment vertical="center" wrapText="1"/>
    </xf>
    <xf numFmtId="0" fontId="26" fillId="0" borderId="40" xfId="0" applyFont="1" applyBorder="1" applyAlignment="1">
      <alignment horizontal="left"/>
    </xf>
    <xf numFmtId="0" fontId="26" fillId="0" borderId="41" xfId="0" applyFont="1" applyBorder="1" applyAlignment="1">
      <alignment horizontal="left"/>
    </xf>
    <xf numFmtId="0" fontId="26" fillId="0" borderId="42" xfId="0" applyFont="1" applyBorder="1" applyAlignment="1">
      <alignment horizontal="left"/>
    </xf>
    <xf numFmtId="0" fontId="3" fillId="0" borderId="8" xfId="2" applyFont="1" applyBorder="1" applyAlignment="1">
      <alignment horizontal="left"/>
    </xf>
    <xf numFmtId="0" fontId="4" fillId="0" borderId="8" xfId="2" applyFont="1" applyBorder="1" applyAlignment="1">
      <alignment horizontal="left"/>
    </xf>
    <xf numFmtId="0" fontId="1" fillId="0" borderId="8" xfId="2" applyFont="1" applyBorder="1"/>
    <xf numFmtId="0" fontId="4" fillId="0" borderId="8" xfId="2" applyFont="1" applyBorder="1"/>
    <xf numFmtId="0" fontId="0" fillId="0" borderId="23" xfId="0" applyBorder="1" applyAlignment="1">
      <alignment wrapText="1"/>
    </xf>
    <xf numFmtId="0" fontId="1" fillId="0" borderId="0" xfId="11"/>
    <xf numFmtId="0" fontId="1" fillId="0" borderId="3" xfId="11" applyBorder="1"/>
    <xf numFmtId="0" fontId="26" fillId="0" borderId="4" xfId="11" applyFont="1" applyBorder="1" applyAlignment="1">
      <alignment horizontal="center"/>
    </xf>
    <xf numFmtId="0" fontId="16" fillId="0" borderId="4" xfId="11" applyFont="1" applyBorder="1" applyAlignment="1">
      <alignment horizontal="center"/>
    </xf>
    <xf numFmtId="3" fontId="6" fillId="5" borderId="17" xfId="11" applyNumberFormat="1" applyFont="1" applyFill="1" applyBorder="1"/>
    <xf numFmtId="0" fontId="0" fillId="0" borderId="8" xfId="0" applyBorder="1"/>
    <xf numFmtId="0" fontId="1" fillId="0" borderId="8" xfId="2" applyFont="1" applyBorder="1" applyAlignment="1">
      <alignment wrapText="1"/>
    </xf>
    <xf numFmtId="0" fontId="2" fillId="0" borderId="23" xfId="2" applyBorder="1"/>
    <xf numFmtId="0" fontId="23" fillId="0" borderId="3" xfId="11" applyFont="1" applyBorder="1" applyAlignment="1">
      <alignment horizontal="right" vertical="top"/>
    </xf>
    <xf numFmtId="0" fontId="27" fillId="0" borderId="10" xfId="11" applyFont="1" applyBorder="1" applyAlignment="1">
      <alignment horizontal="center" vertical="top"/>
    </xf>
    <xf numFmtId="0" fontId="23" fillId="0" borderId="0" xfId="0" applyFont="1"/>
    <xf numFmtId="0" fontId="8" fillId="0" borderId="0" xfId="2" applyFont="1"/>
    <xf numFmtId="0" fontId="8" fillId="0" borderId="7" xfId="2" applyFont="1" applyBorder="1"/>
    <xf numFmtId="3" fontId="1" fillId="0" borderId="0" xfId="2" applyNumberFormat="1" applyFont="1"/>
    <xf numFmtId="0" fontId="8" fillId="0" borderId="8" xfId="11" applyFont="1" applyBorder="1" applyAlignment="1">
      <alignment horizontal="right"/>
    </xf>
    <xf numFmtId="0" fontId="6" fillId="0" borderId="0" xfId="11" applyFont="1" applyAlignment="1">
      <alignment horizontal="left"/>
    </xf>
    <xf numFmtId="3" fontId="1" fillId="0" borderId="0" xfId="11" applyNumberFormat="1"/>
    <xf numFmtId="4" fontId="1" fillId="0" borderId="0" xfId="11" applyNumberFormat="1"/>
    <xf numFmtId="0" fontId="1" fillId="0" borderId="0" xfId="11" applyAlignment="1">
      <alignment horizontal="left"/>
    </xf>
    <xf numFmtId="0" fontId="7" fillId="0" borderId="0" xfId="11" applyFont="1" applyAlignment="1">
      <alignment horizontal="left"/>
    </xf>
    <xf numFmtId="4" fontId="7" fillId="0" borderId="0" xfId="11" applyNumberFormat="1" applyFont="1" applyAlignment="1">
      <alignment horizontal="left"/>
    </xf>
    <xf numFmtId="3" fontId="3" fillId="0" borderId="3" xfId="11" applyNumberFormat="1" applyFont="1" applyBorder="1"/>
    <xf numFmtId="3" fontId="3" fillId="3" borderId="3" xfId="11" applyNumberFormat="1" applyFont="1" applyFill="1" applyBorder="1"/>
    <xf numFmtId="3" fontId="3" fillId="0" borderId="3" xfId="11" applyNumberFormat="1" applyFont="1" applyBorder="1" applyAlignment="1">
      <alignment horizontal="right"/>
    </xf>
    <xf numFmtId="3" fontId="3" fillId="6" borderId="3" xfId="11" applyNumberFormat="1" applyFont="1" applyFill="1" applyBorder="1"/>
    <xf numFmtId="0" fontId="3" fillId="0" borderId="4" xfId="11" applyFont="1" applyBorder="1" applyAlignment="1">
      <alignment horizontal="right"/>
    </xf>
    <xf numFmtId="3" fontId="4" fillId="0" borderId="3" xfId="11" applyNumberFormat="1" applyFont="1" applyBorder="1" applyAlignment="1">
      <alignment vertical="center"/>
    </xf>
    <xf numFmtId="3" fontId="3" fillId="0" borderId="28" xfId="11" applyNumberFormat="1" applyFont="1" applyBorder="1"/>
    <xf numFmtId="0" fontId="22" fillId="0" borderId="24" xfId="11" applyFont="1" applyBorder="1" applyAlignment="1">
      <alignment horizontal="center" vertical="center" wrapText="1"/>
    </xf>
    <xf numFmtId="164" fontId="2" fillId="0" borderId="0" xfId="2" applyNumberFormat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22" fillId="0" borderId="2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4" fontId="1" fillId="0" borderId="0" xfId="0" applyNumberFormat="1" applyFont="1"/>
    <xf numFmtId="0" fontId="26" fillId="0" borderId="44" xfId="0" applyFont="1" applyBorder="1" applyAlignment="1">
      <alignment horizontal="left"/>
    </xf>
    <xf numFmtId="0" fontId="26" fillId="0" borderId="45" xfId="0" applyFont="1" applyBorder="1" applyAlignment="1">
      <alignment horizontal="left"/>
    </xf>
    <xf numFmtId="0" fontId="26" fillId="0" borderId="46" xfId="0" applyFont="1" applyBorder="1" applyAlignment="1">
      <alignment horizontal="left"/>
    </xf>
    <xf numFmtId="0" fontId="26" fillId="0" borderId="54" xfId="0" applyFont="1" applyBorder="1" applyAlignment="1">
      <alignment horizontal="left"/>
    </xf>
    <xf numFmtId="0" fontId="26" fillId="0" borderId="55" xfId="0" applyFont="1" applyBorder="1" applyAlignment="1">
      <alignment horizontal="left"/>
    </xf>
    <xf numFmtId="0" fontId="26" fillId="0" borderId="56" xfId="0" applyFont="1" applyBorder="1" applyAlignment="1">
      <alignment horizontal="left"/>
    </xf>
    <xf numFmtId="0" fontId="0" fillId="0" borderId="23" xfId="0" applyBorder="1"/>
    <xf numFmtId="0" fontId="1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0" borderId="8" xfId="0" applyFont="1" applyBorder="1"/>
    <xf numFmtId="0" fontId="38" fillId="0" borderId="10" xfId="2" applyFont="1" applyBorder="1" applyAlignment="1">
      <alignment horizontal="center" vertical="top"/>
    </xf>
    <xf numFmtId="0" fontId="23" fillId="0" borderId="3" xfId="2" applyFont="1" applyBorder="1" applyAlignment="1">
      <alignment horizontal="right" vertical="center"/>
    </xf>
    <xf numFmtId="49" fontId="26" fillId="0" borderId="4" xfId="2" applyNumberFormat="1" applyFont="1" applyBorder="1" applyAlignment="1">
      <alignment vertical="center"/>
    </xf>
    <xf numFmtId="0" fontId="38" fillId="0" borderId="10" xfId="2" applyFont="1" applyBorder="1" applyAlignment="1">
      <alignment horizontal="center" vertical="center"/>
    </xf>
    <xf numFmtId="3" fontId="23" fillId="0" borderId="4" xfId="2" applyNumberFormat="1" applyFont="1" applyBorder="1" applyAlignment="1">
      <alignment vertical="center"/>
    </xf>
    <xf numFmtId="49" fontId="23" fillId="0" borderId="3" xfId="0" applyNumberFormat="1" applyFont="1" applyBorder="1" applyAlignment="1">
      <alignment horizontal="right" vertical="center"/>
    </xf>
    <xf numFmtId="49" fontId="27" fillId="0" borderId="10" xfId="0" applyNumberFormat="1" applyFont="1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0" fontId="27" fillId="0" borderId="10" xfId="2" applyFont="1" applyBorder="1" applyAlignment="1">
      <alignment horizontal="center" vertical="center"/>
    </xf>
    <xf numFmtId="0" fontId="27" fillId="0" borderId="16" xfId="2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right" vertical="center"/>
    </xf>
    <xf numFmtId="49" fontId="38" fillId="0" borderId="10" xfId="0" applyNumberFormat="1" applyFont="1" applyBorder="1" applyAlignment="1">
      <alignment horizontal="center" vertical="center"/>
    </xf>
    <xf numFmtId="0" fontId="3" fillId="0" borderId="3" xfId="2" applyFont="1" applyBorder="1" applyAlignment="1">
      <alignment vertical="center"/>
    </xf>
    <xf numFmtId="0" fontId="17" fillId="0" borderId="10" xfId="2" applyFont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49" fontId="17" fillId="5" borderId="10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2" fillId="0" borderId="3" xfId="2" applyNumberFormat="1" applyBorder="1" applyAlignment="1">
      <alignment horizontal="center" vertical="center"/>
    </xf>
    <xf numFmtId="49" fontId="16" fillId="0" borderId="10" xfId="2" applyNumberFormat="1" applyFont="1" applyBorder="1" applyAlignment="1">
      <alignment horizontal="center" vertical="center"/>
    </xf>
    <xf numFmtId="49" fontId="3" fillId="5" borderId="3" xfId="2" applyNumberFormat="1" applyFont="1" applyFill="1" applyBorder="1" applyAlignment="1">
      <alignment horizontal="center" vertical="center"/>
    </xf>
    <xf numFmtId="49" fontId="17" fillId="5" borderId="10" xfId="2" applyNumberFormat="1" applyFont="1" applyFill="1" applyBorder="1" applyAlignment="1">
      <alignment horizontal="center" vertical="center"/>
    </xf>
    <xf numFmtId="0" fontId="3" fillId="5" borderId="3" xfId="2" applyFont="1" applyFill="1" applyBorder="1" applyAlignment="1">
      <alignment horizontal="center" vertical="center"/>
    </xf>
    <xf numFmtId="0" fontId="17" fillId="5" borderId="10" xfId="2" applyFont="1" applyFill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5" borderId="4" xfId="2" applyFont="1" applyFill="1" applyBorder="1" applyAlignment="1">
      <alignment vertical="center"/>
    </xf>
    <xf numFmtId="3" fontId="3" fillId="5" borderId="4" xfId="2" applyNumberFormat="1" applyFont="1" applyFill="1" applyBorder="1" applyAlignment="1">
      <alignment vertical="center"/>
    </xf>
    <xf numFmtId="3" fontId="4" fillId="0" borderId="4" xfId="2" applyNumberFormat="1" applyFont="1" applyBorder="1" applyAlignment="1">
      <alignment vertical="center"/>
    </xf>
    <xf numFmtId="0" fontId="23" fillId="0" borderId="4" xfId="2" applyFont="1" applyBorder="1" applyAlignment="1">
      <alignment vertical="center"/>
    </xf>
    <xf numFmtId="0" fontId="23" fillId="0" borderId="4" xfId="2" applyFont="1" applyBorder="1" applyAlignment="1">
      <alignment vertical="center" wrapText="1"/>
    </xf>
    <xf numFmtId="3" fontId="4" fillId="0" borderId="4" xfId="2" applyNumberFormat="1" applyFont="1" applyBorder="1" applyAlignment="1" applyProtection="1">
      <alignment vertical="center"/>
      <protection locked="0"/>
    </xf>
    <xf numFmtId="3" fontId="23" fillId="0" borderId="4" xfId="2" applyNumberFormat="1" applyFont="1" applyBorder="1" applyAlignment="1" applyProtection="1">
      <alignment vertical="center"/>
      <protection locked="0"/>
    </xf>
    <xf numFmtId="0" fontId="23" fillId="0" borderId="4" xfId="11" applyFont="1" applyBorder="1" applyAlignment="1">
      <alignment vertical="center"/>
    </xf>
    <xf numFmtId="3" fontId="23" fillId="0" borderId="4" xfId="11" applyNumberFormat="1" applyFont="1" applyBorder="1" applyAlignment="1">
      <alignment vertical="center"/>
    </xf>
    <xf numFmtId="3" fontId="2" fillId="0" borderId="4" xfId="2" applyNumberFormat="1" applyBorder="1" applyAlignment="1">
      <alignment vertical="center"/>
    </xf>
    <xf numFmtId="0" fontId="23" fillId="0" borderId="12" xfId="2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2" fillId="0" borderId="4" xfId="2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3" fillId="0" borderId="4" xfId="2" applyFont="1" applyBorder="1" applyAlignment="1">
      <alignment vertical="center"/>
    </xf>
    <xf numFmtId="3" fontId="3" fillId="0" borderId="4" xfId="2" applyNumberFormat="1" applyFont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4" xfId="2" applyFont="1" applyBorder="1" applyAlignment="1">
      <alignment vertical="center"/>
    </xf>
    <xf numFmtId="0" fontId="16" fillId="0" borderId="10" xfId="2" applyFont="1" applyBorder="1" applyAlignment="1" applyProtection="1">
      <alignment horizontal="center" vertical="center"/>
      <protection locked="0"/>
    </xf>
    <xf numFmtId="0" fontId="17" fillId="5" borderId="10" xfId="2" applyFont="1" applyFill="1" applyBorder="1" applyAlignment="1" applyProtection="1">
      <alignment horizontal="center" vertical="center"/>
      <protection locked="0"/>
    </xf>
    <xf numFmtId="0" fontId="27" fillId="0" borderId="10" xfId="2" applyFont="1" applyBorder="1" applyAlignment="1" applyProtection="1">
      <alignment horizontal="center" vertical="center"/>
      <protection locked="0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vertical="center"/>
    </xf>
    <xf numFmtId="3" fontId="8" fillId="5" borderId="4" xfId="0" applyNumberFormat="1" applyFont="1" applyFill="1" applyBorder="1" applyAlignment="1">
      <alignment vertical="center"/>
    </xf>
    <xf numFmtId="3" fontId="21" fillId="5" borderId="4" xfId="0" applyNumberFormat="1" applyFont="1" applyFill="1" applyBorder="1" applyAlignment="1">
      <alignment vertical="center"/>
    </xf>
    <xf numFmtId="0" fontId="8" fillId="5" borderId="4" xfId="0" applyFont="1" applyFill="1" applyBorder="1" applyAlignment="1">
      <alignment vertical="center" wrapText="1"/>
    </xf>
    <xf numFmtId="3" fontId="8" fillId="5" borderId="8" xfId="0" applyNumberFormat="1" applyFont="1" applyFill="1" applyBorder="1" applyAlignment="1">
      <alignment vertical="center"/>
    </xf>
    <xf numFmtId="3" fontId="21" fillId="5" borderId="8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3" fontId="8" fillId="0" borderId="8" xfId="0" applyNumberFormat="1" applyFont="1" applyBorder="1" applyAlignment="1">
      <alignment vertical="center"/>
    </xf>
    <xf numFmtId="3" fontId="21" fillId="0" borderId="8" xfId="0" applyNumberFormat="1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39" fillId="0" borderId="4" xfId="0" applyFont="1" applyBorder="1" applyAlignment="1">
      <alignment vertical="center"/>
    </xf>
    <xf numFmtId="3" fontId="1" fillId="0" borderId="8" xfId="0" applyNumberFormat="1" applyFont="1" applyBorder="1" applyAlignment="1">
      <alignment vertical="center"/>
    </xf>
    <xf numFmtId="3" fontId="29" fillId="0" borderId="8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0" fillId="0" borderId="4" xfId="0" applyFont="1" applyBorder="1" applyAlignment="1">
      <alignment vertical="center" wrapText="1"/>
    </xf>
    <xf numFmtId="0" fontId="40" fillId="0" borderId="4" xfId="0" applyFont="1" applyBorder="1" applyAlignment="1">
      <alignment vertical="center"/>
    </xf>
    <xf numFmtId="0" fontId="39" fillId="0" borderId="4" xfId="0" applyFont="1" applyBorder="1" applyAlignment="1">
      <alignment vertical="center" wrapText="1"/>
    </xf>
    <xf numFmtId="0" fontId="23" fillId="0" borderId="3" xfId="0" applyFont="1" applyBorder="1" applyAlignment="1">
      <alignment horizontal="right" vertical="center"/>
    </xf>
    <xf numFmtId="0" fontId="41" fillId="0" borderId="4" xfId="0" applyFont="1" applyBorder="1" applyAlignment="1">
      <alignment vertical="center"/>
    </xf>
    <xf numFmtId="3" fontId="23" fillId="0" borderId="8" xfId="0" applyNumberFormat="1" applyFont="1" applyBorder="1" applyAlignment="1">
      <alignment vertical="center"/>
    </xf>
    <xf numFmtId="3" fontId="36" fillId="0" borderId="8" xfId="0" applyNumberFormat="1" applyFont="1" applyBorder="1" applyAlignment="1">
      <alignment vertical="center"/>
    </xf>
    <xf numFmtId="0" fontId="1" fillId="0" borderId="22" xfId="0" applyFont="1" applyBorder="1" applyAlignment="1">
      <alignment horizontal="right" vertical="center"/>
    </xf>
    <xf numFmtId="0" fontId="39" fillId="0" borderId="12" xfId="0" applyFont="1" applyBorder="1" applyAlignment="1">
      <alignment vertical="center"/>
    </xf>
    <xf numFmtId="3" fontId="1" fillId="0" borderId="24" xfId="0" applyNumberFormat="1" applyFont="1" applyBorder="1" applyAlignment="1">
      <alignment vertical="center"/>
    </xf>
    <xf numFmtId="3" fontId="29" fillId="0" borderId="24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8" fillId="5" borderId="4" xfId="1" applyNumberFormat="1" applyFont="1" applyFill="1" applyBorder="1" applyAlignment="1">
      <alignment vertical="center" wrapText="1"/>
    </xf>
    <xf numFmtId="0" fontId="15" fillId="0" borderId="3" xfId="0" applyFont="1" applyBorder="1" applyAlignment="1">
      <alignment horizontal="right" vertical="center"/>
    </xf>
    <xf numFmtId="0" fontId="42" fillId="0" borderId="4" xfId="0" applyFont="1" applyBorder="1" applyAlignment="1">
      <alignment vertical="center"/>
    </xf>
    <xf numFmtId="3" fontId="15" fillId="0" borderId="8" xfId="0" applyNumberFormat="1" applyFont="1" applyBorder="1" applyAlignment="1">
      <alignment vertical="center"/>
    </xf>
    <xf numFmtId="3" fontId="30" fillId="0" borderId="8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 wrapText="1"/>
    </xf>
    <xf numFmtId="0" fontId="42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3" fontId="8" fillId="0" borderId="4" xfId="0" applyNumberFormat="1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3" fontId="35" fillId="0" borderId="8" xfId="0" applyNumberFormat="1" applyFont="1" applyBorder="1" applyAlignment="1">
      <alignment vertical="center"/>
    </xf>
    <xf numFmtId="3" fontId="37" fillId="0" borderId="8" xfId="0" applyNumberFormat="1" applyFont="1" applyBorder="1" applyAlignment="1">
      <alignment vertical="center"/>
    </xf>
    <xf numFmtId="0" fontId="15" fillId="5" borderId="3" xfId="0" applyFont="1" applyFill="1" applyBorder="1" applyAlignment="1">
      <alignment horizontal="center" vertical="center"/>
    </xf>
    <xf numFmtId="0" fontId="41" fillId="0" borderId="4" xfId="1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3" fontId="8" fillId="5" borderId="26" xfId="0" applyNumberFormat="1" applyFont="1" applyFill="1" applyBorder="1" applyAlignment="1">
      <alignment vertical="center"/>
    </xf>
    <xf numFmtId="0" fontId="3" fillId="5" borderId="12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0" fontId="12" fillId="5" borderId="25" xfId="2" applyFont="1" applyFill="1" applyBorder="1" applyAlignment="1">
      <alignment horizontal="center" vertical="center" wrapText="1"/>
    </xf>
    <xf numFmtId="3" fontId="3" fillId="5" borderId="3" xfId="2" applyNumberFormat="1" applyFont="1" applyFill="1" applyBorder="1" applyAlignment="1">
      <alignment horizontal="right"/>
    </xf>
    <xf numFmtId="3" fontId="12" fillId="5" borderId="17" xfId="2" applyNumberFormat="1" applyFont="1" applyFill="1" applyBorder="1" applyAlignment="1">
      <alignment horizontal="right"/>
    </xf>
    <xf numFmtId="3" fontId="3" fillId="0" borderId="3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6" fillId="5" borderId="17" xfId="2" applyNumberFormat="1" applyFont="1" applyFill="1" applyBorder="1" applyAlignment="1">
      <alignment horizontal="right"/>
    </xf>
    <xf numFmtId="3" fontId="3" fillId="5" borderId="3" xfId="2" applyNumberFormat="1" applyFont="1" applyFill="1" applyBorder="1"/>
    <xf numFmtId="3" fontId="12" fillId="5" borderId="17" xfId="2" applyNumberFormat="1" applyFont="1" applyFill="1" applyBorder="1"/>
    <xf numFmtId="3" fontId="4" fillId="0" borderId="3" xfId="2" applyNumberFormat="1" applyFont="1" applyBorder="1"/>
    <xf numFmtId="3" fontId="6" fillId="5" borderId="17" xfId="2" applyNumberFormat="1" applyFont="1" applyFill="1" applyBorder="1"/>
    <xf numFmtId="3" fontId="23" fillId="0" borderId="3" xfId="2" applyNumberFormat="1" applyFont="1" applyBorder="1"/>
    <xf numFmtId="3" fontId="28" fillId="5" borderId="17" xfId="2" applyNumberFormat="1" applyFont="1" applyFill="1" applyBorder="1"/>
    <xf numFmtId="3" fontId="3" fillId="5" borderId="3" xfId="2" applyNumberFormat="1" applyFont="1" applyFill="1" applyBorder="1" applyAlignment="1">
      <alignment vertical="center"/>
    </xf>
    <xf numFmtId="3" fontId="12" fillId="5" borderId="17" xfId="2" applyNumberFormat="1" applyFont="1" applyFill="1" applyBorder="1" applyAlignment="1">
      <alignment vertical="center"/>
    </xf>
    <xf numFmtId="3" fontId="4" fillId="0" borderId="3" xfId="2" applyNumberFormat="1" applyFont="1" applyBorder="1" applyAlignment="1">
      <alignment vertical="center"/>
    </xf>
    <xf numFmtId="3" fontId="6" fillId="5" borderId="17" xfId="2" applyNumberFormat="1" applyFont="1" applyFill="1" applyBorder="1" applyAlignment="1">
      <alignment vertical="center"/>
    </xf>
    <xf numFmtId="3" fontId="23" fillId="0" borderId="3" xfId="2" applyNumberFormat="1" applyFont="1" applyBorder="1" applyAlignment="1">
      <alignment vertical="center"/>
    </xf>
    <xf numFmtId="3" fontId="36" fillId="5" borderId="17" xfId="2" applyNumberFormat="1" applyFont="1" applyFill="1" applyBorder="1" applyAlignment="1">
      <alignment vertical="center"/>
    </xf>
    <xf numFmtId="3" fontId="28" fillId="5" borderId="17" xfId="2" applyNumberFormat="1" applyFont="1" applyFill="1" applyBorder="1" applyAlignment="1">
      <alignment vertical="center"/>
    </xf>
    <xf numFmtId="3" fontId="4" fillId="0" borderId="3" xfId="2" applyNumberFormat="1" applyFont="1" applyBorder="1" applyAlignment="1" applyProtection="1">
      <alignment vertical="center"/>
      <protection locked="0"/>
    </xf>
    <xf numFmtId="3" fontId="6" fillId="5" borderId="17" xfId="2" applyNumberFormat="1" applyFont="1" applyFill="1" applyBorder="1" applyAlignment="1" applyProtection="1">
      <alignment vertical="center"/>
      <protection locked="0"/>
    </xf>
    <xf numFmtId="3" fontId="23" fillId="0" borderId="3" xfId="2" applyNumberFormat="1" applyFont="1" applyBorder="1" applyAlignment="1" applyProtection="1">
      <alignment vertical="center"/>
      <protection locked="0"/>
    </xf>
    <xf numFmtId="3" fontId="28" fillId="5" borderId="17" xfId="2" applyNumberFormat="1" applyFont="1" applyFill="1" applyBorder="1" applyAlignment="1" applyProtection="1">
      <alignment vertical="center"/>
      <protection locked="0"/>
    </xf>
    <xf numFmtId="3" fontId="23" fillId="0" borderId="3" xfId="11" applyNumberFormat="1" applyFont="1" applyBorder="1" applyAlignment="1">
      <alignment vertical="center"/>
    </xf>
    <xf numFmtId="3" fontId="28" fillId="5" borderId="17" xfId="11" applyNumberFormat="1" applyFont="1" applyFill="1" applyBorder="1" applyAlignment="1">
      <alignment vertical="center"/>
    </xf>
    <xf numFmtId="3" fontId="2" fillId="0" borderId="3" xfId="2" applyNumberFormat="1" applyBorder="1" applyAlignment="1">
      <alignment vertical="center"/>
    </xf>
    <xf numFmtId="3" fontId="3" fillId="0" borderId="3" xfId="2" applyNumberFormat="1" applyFont="1" applyBorder="1" applyAlignment="1">
      <alignment vertical="center"/>
    </xf>
    <xf numFmtId="0" fontId="6" fillId="5" borderId="27" xfId="2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3" fontId="8" fillId="0" borderId="8" xfId="2" applyNumberFormat="1" applyFont="1" applyBorder="1"/>
    <xf numFmtId="0" fontId="12" fillId="5" borderId="17" xfId="2" applyFont="1" applyFill="1" applyBorder="1" applyAlignment="1">
      <alignment horizontal="center"/>
    </xf>
    <xf numFmtId="3" fontId="12" fillId="5" borderId="17" xfId="3" applyNumberFormat="1" applyFont="1" applyFill="1" applyBorder="1"/>
    <xf numFmtId="3" fontId="6" fillId="5" borderId="17" xfId="3" applyNumberFormat="1" applyFont="1" applyFill="1" applyBorder="1"/>
    <xf numFmtId="3" fontId="6" fillId="5" borderId="27" xfId="2" applyNumberFormat="1" applyFont="1" applyFill="1" applyBorder="1"/>
    <xf numFmtId="0" fontId="12" fillId="5" borderId="18" xfId="2" applyFont="1" applyFill="1" applyBorder="1" applyAlignment="1">
      <alignment horizontal="center"/>
    </xf>
    <xf numFmtId="3" fontId="12" fillId="5" borderId="18" xfId="2" applyNumberFormat="1" applyFont="1" applyFill="1" applyBorder="1" applyAlignment="1">
      <alignment horizontal="right"/>
    </xf>
    <xf numFmtId="3" fontId="6" fillId="5" borderId="18" xfId="2" applyNumberFormat="1" applyFont="1" applyFill="1" applyBorder="1"/>
    <xf numFmtId="3" fontId="12" fillId="5" borderId="18" xfId="2" applyNumberFormat="1" applyFont="1" applyFill="1" applyBorder="1"/>
    <xf numFmtId="3" fontId="12" fillId="5" borderId="18" xfId="3" applyNumberFormat="1" applyFont="1" applyFill="1" applyBorder="1"/>
    <xf numFmtId="0" fontId="6" fillId="5" borderId="17" xfId="2" applyFont="1" applyFill="1" applyBorder="1"/>
    <xf numFmtId="3" fontId="8" fillId="0" borderId="3" xfId="2" applyNumberFormat="1" applyFont="1" applyBorder="1"/>
    <xf numFmtId="3" fontId="21" fillId="5" borderId="17" xfId="2" applyNumberFormat="1" applyFont="1" applyFill="1" applyBorder="1"/>
    <xf numFmtId="3" fontId="12" fillId="5" borderId="17" xfId="2" applyNumberFormat="1" applyFont="1" applyFill="1" applyBorder="1" applyAlignment="1">
      <alignment horizontal="center"/>
    </xf>
    <xf numFmtId="0" fontId="12" fillId="5" borderId="17" xfId="2" applyFont="1" applyFill="1" applyBorder="1" applyAlignment="1">
      <alignment horizontal="center" vertical="center" wrapText="1"/>
    </xf>
    <xf numFmtId="3" fontId="12" fillId="5" borderId="17" xfId="11" applyNumberFormat="1" applyFont="1" applyFill="1" applyBorder="1"/>
    <xf numFmtId="0" fontId="12" fillId="5" borderId="17" xfId="2" applyFont="1" applyFill="1" applyBorder="1" applyAlignment="1">
      <alignment horizontal="right"/>
    </xf>
    <xf numFmtId="3" fontId="6" fillId="5" borderId="17" xfId="3" applyNumberFormat="1" applyFont="1" applyFill="1" applyBorder="1" applyAlignment="1">
      <alignment vertical="center"/>
    </xf>
    <xf numFmtId="3" fontId="12" fillId="5" borderId="27" xfId="2" applyNumberFormat="1" applyFont="1" applyFill="1" applyBorder="1"/>
    <xf numFmtId="0" fontId="41" fillId="0" borderId="4" xfId="0" applyFont="1" applyBorder="1" applyAlignment="1">
      <alignment wrapText="1"/>
    </xf>
    <xf numFmtId="0" fontId="9" fillId="0" borderId="0" xfId="0" applyFont="1" applyAlignment="1">
      <alignment horizontal="center" vertical="top"/>
    </xf>
    <xf numFmtId="4" fontId="2" fillId="0" borderId="58" xfId="2" applyNumberFormat="1" applyBorder="1"/>
    <xf numFmtId="0" fontId="1" fillId="0" borderId="0" xfId="2" applyFont="1" applyAlignment="1">
      <alignment horizontal="right"/>
    </xf>
    <xf numFmtId="0" fontId="1" fillId="0" borderId="8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2" fontId="8" fillId="4" borderId="20" xfId="0" applyNumberFormat="1" applyFont="1" applyFill="1" applyBorder="1" applyAlignment="1">
      <alignment horizontal="right" vertical="center"/>
    </xf>
    <xf numFmtId="3" fontId="1" fillId="0" borderId="0" xfId="2" applyNumberFormat="1" applyFont="1" applyAlignment="1">
      <alignment horizontal="right"/>
    </xf>
    <xf numFmtId="3" fontId="1" fillId="0" borderId="0" xfId="0" applyNumberFormat="1" applyFont="1"/>
    <xf numFmtId="0" fontId="3" fillId="0" borderId="3" xfId="11" applyFont="1" applyBorder="1" applyAlignment="1">
      <alignment horizontal="right"/>
    </xf>
    <xf numFmtId="0" fontId="1" fillId="0" borderId="0" xfId="0" applyFont="1" applyAlignment="1">
      <alignment horizontal="justify" wrapText="1"/>
    </xf>
    <xf numFmtId="0" fontId="17" fillId="0" borderId="3" xfId="11" applyFont="1" applyBorder="1" applyAlignment="1">
      <alignment horizontal="center"/>
    </xf>
    <xf numFmtId="0" fontId="17" fillId="0" borderId="10" xfId="11" applyFont="1" applyBorder="1" applyAlignment="1">
      <alignment horizontal="center"/>
    </xf>
    <xf numFmtId="0" fontId="17" fillId="0" borderId="4" xfId="11" applyFont="1" applyBorder="1" applyAlignment="1">
      <alignment horizontal="center"/>
    </xf>
    <xf numFmtId="0" fontId="17" fillId="0" borderId="8" xfId="11" applyFont="1" applyBorder="1" applyAlignment="1">
      <alignment horizontal="center"/>
    </xf>
    <xf numFmtId="0" fontId="17" fillId="0" borderId="17" xfId="11" applyFont="1" applyBorder="1" applyAlignment="1">
      <alignment horizontal="center"/>
    </xf>
    <xf numFmtId="0" fontId="17" fillId="5" borderId="17" xfId="11" applyFont="1" applyFill="1" applyBorder="1" applyAlignment="1">
      <alignment horizontal="center"/>
    </xf>
    <xf numFmtId="4" fontId="44" fillId="0" borderId="0" xfId="4" applyNumberFormat="1" applyFon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" fontId="45" fillId="0" borderId="0" xfId="0" applyNumberFormat="1" applyFont="1"/>
    <xf numFmtId="4" fontId="45" fillId="0" borderId="0" xfId="4" applyNumberFormat="1" applyFont="1"/>
    <xf numFmtId="0" fontId="1" fillId="0" borderId="0" xfId="0" applyFont="1" applyAlignment="1">
      <alignment horizontal="left"/>
    </xf>
    <xf numFmtId="0" fontId="17" fillId="0" borderId="61" xfId="11" applyFont="1" applyBorder="1" applyAlignment="1">
      <alignment horizontal="center"/>
    </xf>
    <xf numFmtId="4" fontId="3" fillId="5" borderId="61" xfId="2" applyNumberFormat="1" applyFont="1" applyFill="1" applyBorder="1" applyAlignment="1">
      <alignment horizontal="right"/>
    </xf>
    <xf numFmtId="4" fontId="4" fillId="0" borderId="61" xfId="2" applyNumberFormat="1" applyFont="1" applyBorder="1" applyAlignment="1">
      <alignment horizontal="right"/>
    </xf>
    <xf numFmtId="4" fontId="8" fillId="5" borderId="61" xfId="2" applyNumberFormat="1" applyFont="1" applyFill="1" applyBorder="1" applyAlignment="1">
      <alignment horizontal="right"/>
    </xf>
    <xf numFmtId="4" fontId="23" fillId="0" borderId="61" xfId="2" applyNumberFormat="1" applyFont="1" applyBorder="1" applyAlignment="1">
      <alignment horizontal="right"/>
    </xf>
    <xf numFmtId="4" fontId="8" fillId="5" borderId="61" xfId="2" applyNumberFormat="1" applyFont="1" applyFill="1" applyBorder="1" applyAlignment="1">
      <alignment horizontal="right" vertical="center"/>
    </xf>
    <xf numFmtId="4" fontId="4" fillId="0" borderId="61" xfId="2" applyNumberFormat="1" applyFont="1" applyBorder="1" applyAlignment="1">
      <alignment horizontal="right" vertical="center"/>
    </xf>
    <xf numFmtId="4" fontId="23" fillId="0" borderId="61" xfId="2" applyNumberFormat="1" applyFont="1" applyBorder="1" applyAlignment="1">
      <alignment horizontal="right" vertical="center"/>
    </xf>
    <xf numFmtId="4" fontId="23" fillId="0" borderId="61" xfId="11" applyNumberFormat="1" applyFont="1" applyBorder="1" applyAlignment="1">
      <alignment horizontal="right" vertical="center"/>
    </xf>
    <xf numFmtId="4" fontId="8" fillId="0" borderId="61" xfId="2" applyNumberFormat="1" applyFont="1" applyBorder="1" applyAlignment="1">
      <alignment horizontal="right"/>
    </xf>
    <xf numFmtId="4" fontId="2" fillId="0" borderId="62" xfId="2" applyNumberFormat="1" applyBorder="1"/>
    <xf numFmtId="4" fontId="25" fillId="0" borderId="61" xfId="2" applyNumberFormat="1" applyFont="1" applyBorder="1" applyAlignment="1">
      <alignment horizontal="center"/>
    </xf>
    <xf numFmtId="4" fontId="25" fillId="0" borderId="61" xfId="2" applyNumberFormat="1" applyFont="1" applyBorder="1"/>
    <xf numFmtId="4" fontId="20" fillId="0" borderId="61" xfId="2" applyNumberFormat="1" applyFont="1" applyBorder="1"/>
    <xf numFmtId="4" fontId="20" fillId="0" borderId="62" xfId="2" applyNumberFormat="1" applyFont="1" applyBorder="1"/>
    <xf numFmtId="4" fontId="20" fillId="0" borderId="61" xfId="11" applyNumberFormat="1" applyFont="1" applyBorder="1"/>
    <xf numFmtId="4" fontId="25" fillId="0" borderId="62" xfId="2" applyNumberFormat="1" applyFont="1" applyBorder="1"/>
    <xf numFmtId="3" fontId="1" fillId="0" borderId="0" xfId="0" applyNumberFormat="1" applyFont="1" applyAlignment="1">
      <alignment vertical="center"/>
    </xf>
    <xf numFmtId="0" fontId="3" fillId="2" borderId="63" xfId="11" applyFont="1" applyFill="1" applyBorder="1" applyAlignment="1">
      <alignment horizontal="center" vertical="center" wrapText="1"/>
    </xf>
    <xf numFmtId="0" fontId="17" fillId="0" borderId="17" xfId="11" applyFont="1" applyBorder="1" applyAlignment="1">
      <alignment horizontal="center" vertical="center" wrapText="1"/>
    </xf>
    <xf numFmtId="4" fontId="21" fillId="5" borderId="17" xfId="0" applyNumberFormat="1" applyFont="1" applyFill="1" applyBorder="1" applyAlignment="1">
      <alignment vertical="center"/>
    </xf>
    <xf numFmtId="4" fontId="8" fillId="5" borderId="17" xfId="0" applyNumberFormat="1" applyFont="1" applyFill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4" fontId="23" fillId="0" borderId="17" xfId="0" applyNumberFormat="1" applyFont="1" applyBorder="1" applyAlignment="1">
      <alignment vertical="center"/>
    </xf>
    <xf numFmtId="4" fontId="1" fillId="0" borderId="25" xfId="0" applyNumberFormat="1" applyFont="1" applyBorder="1" applyAlignment="1">
      <alignment vertical="center"/>
    </xf>
    <xf numFmtId="4" fontId="21" fillId="0" borderId="17" xfId="0" applyNumberFormat="1" applyFont="1" applyBorder="1" applyAlignment="1">
      <alignment vertical="center"/>
    </xf>
    <xf numFmtId="4" fontId="46" fillId="0" borderId="61" xfId="2" applyNumberFormat="1" applyFont="1" applyBorder="1"/>
    <xf numFmtId="3" fontId="23" fillId="0" borderId="0" xfId="0" applyNumberFormat="1" applyFont="1"/>
    <xf numFmtId="0" fontId="23" fillId="0" borderId="8" xfId="0" applyFont="1" applyBorder="1" applyAlignment="1">
      <alignment horizontal="left" vertical="center" wrapText="1"/>
    </xf>
    <xf numFmtId="3" fontId="25" fillId="4" borderId="4" xfId="0" applyNumberFormat="1" applyFont="1" applyFill="1" applyBorder="1" applyAlignment="1">
      <alignment horizontal="right" vertical="center"/>
    </xf>
    <xf numFmtId="3" fontId="8" fillId="4" borderId="4" xfId="0" applyNumberFormat="1" applyFont="1" applyFill="1" applyBorder="1" applyAlignment="1">
      <alignment horizontal="right" vertical="center"/>
    </xf>
    <xf numFmtId="3" fontId="4" fillId="0" borderId="4" xfId="11" applyNumberFormat="1" applyFont="1" applyBorder="1" applyAlignment="1">
      <alignment horizontal="right" vertical="center"/>
    </xf>
    <xf numFmtId="3" fontId="4" fillId="0" borderId="3" xfId="11" applyNumberFormat="1" applyFont="1" applyBorder="1" applyAlignment="1">
      <alignment horizontal="right" vertical="center"/>
    </xf>
    <xf numFmtId="3" fontId="6" fillId="5" borderId="17" xfId="3" applyNumberFormat="1" applyFont="1" applyFill="1" applyBorder="1" applyAlignment="1">
      <alignment horizontal="right" vertical="center"/>
    </xf>
    <xf numFmtId="4" fontId="20" fillId="0" borderId="61" xfId="2" applyNumberFormat="1" applyFont="1" applyBorder="1" applyAlignment="1">
      <alignment horizontal="right" vertical="center"/>
    </xf>
    <xf numFmtId="0" fontId="27" fillId="0" borderId="10" xfId="11" applyFont="1" applyBorder="1" applyAlignment="1">
      <alignment horizontal="center" vertical="center"/>
    </xf>
    <xf numFmtId="0" fontId="23" fillId="0" borderId="4" xfId="11" applyFont="1" applyBorder="1" applyAlignment="1">
      <alignment vertical="center" wrapText="1"/>
    </xf>
    <xf numFmtId="4" fontId="15" fillId="0" borderId="17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0" fontId="29" fillId="0" borderId="9" xfId="0" applyFont="1" applyBorder="1" applyAlignment="1">
      <alignment vertical="center"/>
    </xf>
    <xf numFmtId="3" fontId="21" fillId="5" borderId="65" xfId="0" applyNumberFormat="1" applyFont="1" applyFill="1" applyBorder="1" applyAlignment="1">
      <alignment vertical="center"/>
    </xf>
    <xf numFmtId="0" fontId="0" fillId="0" borderId="17" xfId="0" applyBorder="1"/>
    <xf numFmtId="0" fontId="0" fillId="0" borderId="27" xfId="0" applyBorder="1"/>
    <xf numFmtId="4" fontId="21" fillId="5" borderId="25" xfId="0" applyNumberFormat="1" applyFont="1" applyFill="1" applyBorder="1" applyAlignment="1">
      <alignment vertical="center"/>
    </xf>
    <xf numFmtId="0" fontId="0" fillId="5" borderId="17" xfId="0" applyFill="1" applyBorder="1"/>
    <xf numFmtId="4" fontId="15" fillId="5" borderId="17" xfId="0" applyNumberFormat="1" applyFont="1" applyFill="1" applyBorder="1" applyAlignment="1">
      <alignment vertical="center"/>
    </xf>
    <xf numFmtId="4" fontId="25" fillId="5" borderId="17" xfId="0" applyNumberFormat="1" applyFont="1" applyFill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4" fontId="30" fillId="5" borderId="17" xfId="0" applyNumberFormat="1" applyFont="1" applyFill="1" applyBorder="1" applyAlignment="1">
      <alignment vertical="center"/>
    </xf>
    <xf numFmtId="2" fontId="21" fillId="5" borderId="64" xfId="0" applyNumberFormat="1" applyFont="1" applyFill="1" applyBorder="1"/>
    <xf numFmtId="3" fontId="1" fillId="0" borderId="66" xfId="0" applyNumberFormat="1" applyFont="1" applyBorder="1" applyAlignment="1">
      <alignment vertical="center"/>
    </xf>
    <xf numFmtId="3" fontId="2" fillId="0" borderId="0" xfId="2" applyNumberFormat="1" applyAlignment="1">
      <alignment horizontal="right"/>
    </xf>
    <xf numFmtId="3" fontId="6" fillId="0" borderId="0" xfId="2" applyNumberFormat="1" applyFont="1" applyAlignment="1">
      <alignment horizontal="right"/>
    </xf>
    <xf numFmtId="49" fontId="1" fillId="0" borderId="3" xfId="0" applyNumberFormat="1" applyFont="1" applyBorder="1" applyAlignment="1">
      <alignment horizontal="center" vertical="center"/>
    </xf>
    <xf numFmtId="3" fontId="1" fillId="0" borderId="4" xfId="2" applyNumberFormat="1" applyFont="1" applyBorder="1"/>
    <xf numFmtId="0" fontId="1" fillId="0" borderId="23" xfId="0" applyFont="1" applyBorder="1" applyAlignment="1">
      <alignment wrapText="1"/>
    </xf>
    <xf numFmtId="0" fontId="1" fillId="0" borderId="0" xfId="2" applyFont="1" applyAlignment="1">
      <alignment vertical="center"/>
    </xf>
    <xf numFmtId="9" fontId="0" fillId="0" borderId="0" xfId="0" applyNumberFormat="1"/>
    <xf numFmtId="4" fontId="20" fillId="0" borderId="0" xfId="0" applyNumberFormat="1" applyFont="1"/>
    <xf numFmtId="3" fontId="8" fillId="5" borderId="17" xfId="2" applyNumberFormat="1" applyFont="1" applyFill="1" applyBorder="1"/>
    <xf numFmtId="3" fontId="8" fillId="5" borderId="17" xfId="11" applyNumberFormat="1" applyFont="1" applyFill="1" applyBorder="1"/>
    <xf numFmtId="3" fontId="8" fillId="5" borderId="17" xfId="3" applyNumberFormat="1" applyFont="1" applyFill="1" applyBorder="1"/>
    <xf numFmtId="3" fontId="8" fillId="5" borderId="18" xfId="2" applyNumberFormat="1" applyFont="1" applyFill="1" applyBorder="1"/>
    <xf numFmtId="3" fontId="8" fillId="0" borderId="0" xfId="2" applyNumberFormat="1" applyFont="1"/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3" fillId="6" borderId="0" xfId="0" applyFont="1" applyFill="1" applyAlignment="1">
      <alignment horizontal="center" wrapText="1"/>
    </xf>
    <xf numFmtId="0" fontId="0" fillId="6" borderId="0" xfId="0" applyFill="1"/>
    <xf numFmtId="0" fontId="9" fillId="0" borderId="0" xfId="0" applyFont="1" applyAlignment="1">
      <alignment horizontal="center" vertical="top"/>
    </xf>
    <xf numFmtId="0" fontId="4" fillId="0" borderId="0" xfId="0" applyFont="1"/>
    <xf numFmtId="0" fontId="0" fillId="0" borderId="0" xfId="0" applyAlignment="1">
      <alignment horizontal="center" vertical="center"/>
    </xf>
    <xf numFmtId="0" fontId="43" fillId="0" borderId="0" xfId="0" applyFont="1" applyAlignment="1">
      <alignment horizontal="center"/>
    </xf>
    <xf numFmtId="0" fontId="26" fillId="0" borderId="40" xfId="0" applyFont="1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3" fillId="5" borderId="8" xfId="0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3" fillId="5" borderId="10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26" fillId="0" borderId="41" xfId="0" applyFont="1" applyBorder="1" applyAlignment="1">
      <alignment horizontal="left"/>
    </xf>
    <xf numFmtId="0" fontId="26" fillId="0" borderId="42" xfId="0" applyFont="1" applyBorder="1" applyAlignment="1">
      <alignment horizontal="left"/>
    </xf>
    <xf numFmtId="0" fontId="26" fillId="0" borderId="48" xfId="0" applyFont="1" applyBorder="1" applyAlignment="1">
      <alignment horizontal="left"/>
    </xf>
    <xf numFmtId="0" fontId="26" fillId="0" borderId="49" xfId="0" applyFont="1" applyBorder="1" applyAlignment="1">
      <alignment horizontal="left"/>
    </xf>
    <xf numFmtId="0" fontId="26" fillId="0" borderId="50" xfId="0" applyFont="1" applyBorder="1" applyAlignment="1">
      <alignment horizontal="left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21" fillId="5" borderId="13" xfId="0" applyFont="1" applyFill="1" applyBorder="1" applyAlignment="1">
      <alignment horizontal="right" vertical="center" wrapText="1"/>
    </xf>
    <xf numFmtId="0" fontId="21" fillId="5" borderId="29" xfId="0" applyFont="1" applyFill="1" applyBorder="1" applyAlignment="1">
      <alignment horizontal="right" vertical="center" wrapText="1"/>
    </xf>
    <xf numFmtId="166" fontId="5" fillId="0" borderId="14" xfId="1" applyNumberFormat="1" applyFont="1" applyBorder="1" applyAlignment="1">
      <alignment horizontal="left" wrapText="1"/>
    </xf>
    <xf numFmtId="0" fontId="0" fillId="0" borderId="14" xfId="0" applyBorder="1" applyAlignment="1">
      <alignment wrapText="1"/>
    </xf>
    <xf numFmtId="0" fontId="8" fillId="0" borderId="28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0" fillId="0" borderId="0" xfId="0" applyAlignment="1">
      <alignment horizontal="justify" vertical="top"/>
    </xf>
    <xf numFmtId="3" fontId="5" fillId="0" borderId="14" xfId="2" applyNumberFormat="1" applyFont="1" applyBorder="1" applyAlignment="1">
      <alignment horizontal="left"/>
    </xf>
    <xf numFmtId="3" fontId="0" fillId="0" borderId="14" xfId="0" applyNumberFormat="1" applyBorder="1"/>
    <xf numFmtId="0" fontId="5" fillId="0" borderId="0" xfId="2" applyFont="1" applyAlignment="1">
      <alignment horizontal="left"/>
    </xf>
    <xf numFmtId="0" fontId="7" fillId="0" borderId="0" xfId="11" applyFont="1" applyAlignment="1">
      <alignment horizontal="left"/>
    </xf>
    <xf numFmtId="0" fontId="12" fillId="5" borderId="52" xfId="11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3" fillId="5" borderId="32" xfId="2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3" fillId="5" borderId="33" xfId="2" applyFont="1" applyFill="1" applyBorder="1" applyAlignment="1">
      <alignment horizontal="center" vertical="center" textRotation="90" wrapText="1"/>
    </xf>
    <xf numFmtId="0" fontId="0" fillId="5" borderId="12" xfId="0" applyFill="1" applyBorder="1" applyAlignment="1">
      <alignment horizontal="center" vertical="center" textRotation="90" wrapText="1"/>
    </xf>
    <xf numFmtId="0" fontId="3" fillId="5" borderId="33" xfId="2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3" fillId="5" borderId="33" xfId="2" applyFont="1" applyFill="1" applyBorder="1" applyAlignment="1">
      <alignment horizontal="center" vertical="center" wrapText="1"/>
    </xf>
    <xf numFmtId="0" fontId="3" fillId="5" borderId="12" xfId="2" applyFont="1" applyFill="1" applyBorder="1" applyAlignment="1">
      <alignment horizontal="center" vertical="center" wrapText="1"/>
    </xf>
    <xf numFmtId="4" fontId="24" fillId="5" borderId="59" xfId="11" applyNumberFormat="1" applyFont="1" applyFill="1" applyBorder="1" applyAlignment="1">
      <alignment horizontal="center" vertical="center" wrapText="1"/>
    </xf>
    <xf numFmtId="0" fontId="26" fillId="5" borderId="60" xfId="0" applyFont="1" applyFill="1" applyBorder="1" applyAlignment="1">
      <alignment horizontal="center" vertical="center"/>
    </xf>
    <xf numFmtId="0" fontId="3" fillId="5" borderId="34" xfId="11" applyFont="1" applyFill="1" applyBorder="1" applyAlignment="1">
      <alignment horizontal="center" vertical="center" wrapText="1"/>
    </xf>
    <xf numFmtId="0" fontId="3" fillId="5" borderId="25" xfId="11" applyFont="1" applyFill="1" applyBorder="1" applyAlignment="1">
      <alignment horizontal="center" vertical="center" wrapText="1"/>
    </xf>
    <xf numFmtId="0" fontId="9" fillId="5" borderId="35" xfId="2" applyFont="1" applyFill="1" applyBorder="1" applyAlignment="1">
      <alignment horizontal="left" vertical="center"/>
    </xf>
    <xf numFmtId="0" fontId="9" fillId="5" borderId="36" xfId="2" applyFont="1" applyFill="1" applyBorder="1" applyAlignment="1">
      <alignment horizontal="left" vertical="center"/>
    </xf>
    <xf numFmtId="0" fontId="9" fillId="5" borderId="37" xfId="2" applyFont="1" applyFill="1" applyBorder="1" applyAlignment="1">
      <alignment horizontal="left" vertical="center"/>
    </xf>
    <xf numFmtId="0" fontId="3" fillId="0" borderId="14" xfId="2" applyFont="1" applyBorder="1" applyAlignment="1">
      <alignment horizontal="right"/>
    </xf>
    <xf numFmtId="0" fontId="12" fillId="0" borderId="52" xfId="1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24" fillId="0" borderId="32" xfId="2" applyFont="1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textRotation="90" wrapText="1"/>
    </xf>
    <xf numFmtId="0" fontId="17" fillId="0" borderId="33" xfId="2" applyFont="1" applyBorder="1" applyAlignment="1">
      <alignment horizontal="center" vertical="center" textRotation="90" wrapText="1"/>
    </xf>
    <xf numFmtId="0" fontId="16" fillId="0" borderId="12" xfId="0" applyFont="1" applyBorder="1" applyAlignment="1">
      <alignment horizontal="center" vertical="center" textRotation="90" wrapText="1"/>
    </xf>
    <xf numFmtId="0" fontId="8" fillId="0" borderId="33" xfId="2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3" fillId="0" borderId="33" xfId="2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4" fillId="0" borderId="33" xfId="2" applyFont="1" applyBorder="1" applyAlignment="1">
      <alignment horizontal="center" vertical="center" wrapText="1"/>
    </xf>
    <xf numFmtId="4" fontId="24" fillId="0" borderId="59" xfId="11" applyNumberFormat="1" applyFont="1" applyBorder="1" applyAlignment="1">
      <alignment horizontal="center" vertical="center" wrapText="1"/>
    </xf>
    <xf numFmtId="0" fontId="26" fillId="0" borderId="60" xfId="0" applyFont="1" applyBorder="1" applyAlignment="1">
      <alignment horizontal="center" vertical="center"/>
    </xf>
    <xf numFmtId="0" fontId="24" fillId="0" borderId="33" xfId="2" applyFont="1" applyBorder="1" applyAlignment="1">
      <alignment horizontal="center" vertical="center" textRotation="90" wrapText="1"/>
    </xf>
    <xf numFmtId="0" fontId="8" fillId="0" borderId="34" xfId="1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7" xfId="0" applyBorder="1"/>
    <xf numFmtId="0" fontId="8" fillId="0" borderId="33" xfId="2" applyFont="1" applyBorder="1" applyAlignment="1">
      <alignment horizontal="center" vertical="center" wrapText="1"/>
    </xf>
    <xf numFmtId="0" fontId="25" fillId="0" borderId="51" xfId="2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5" fillId="0" borderId="33" xfId="2" applyFont="1" applyBorder="1" applyAlignment="1">
      <alignment horizontal="center" vertical="center" textRotation="90" wrapText="1"/>
    </xf>
    <xf numFmtId="0" fontId="25" fillId="0" borderId="33" xfId="2" applyFont="1" applyBorder="1" applyAlignment="1">
      <alignment horizontal="center" vertical="center" wrapText="1"/>
    </xf>
    <xf numFmtId="0" fontId="8" fillId="0" borderId="51" xfId="2" applyFont="1" applyBorder="1" applyAlignment="1">
      <alignment horizontal="center" vertical="center" wrapText="1"/>
    </xf>
    <xf numFmtId="0" fontId="0" fillId="0" borderId="36" xfId="0" applyBorder="1"/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justify"/>
    </xf>
  </cellXfs>
  <cellStyles count="13">
    <cellStyle name="Comma_izvrsenje300903-s planom 2" xfId="1" xr:uid="{00000000-0005-0000-0000-000000000000}"/>
    <cellStyle name="Normal_sablon1-230704" xfId="2" xr:uid="{00000000-0005-0000-0000-000002000000}"/>
    <cellStyle name="Normal_sablon1-230704 2" xfId="3" xr:uid="{00000000-0005-0000-0000-000003000000}"/>
    <cellStyle name="Normal_sablon1-230704 2 2 2" xfId="11" xr:uid="{00000000-0005-0000-0000-000004000000}"/>
    <cellStyle name="Normalno" xfId="0" builtinId="0"/>
    <cellStyle name="Obično 2" xfId="6" xr:uid="{00000000-0005-0000-0000-000006000000}"/>
    <cellStyle name="Obično 2 2" xfId="10" xr:uid="{00000000-0005-0000-0000-000007000000}"/>
    <cellStyle name="Obično 3" xfId="8" xr:uid="{00000000-0005-0000-0000-000008000000}"/>
    <cellStyle name="Postotak" xfId="4" builtinId="5"/>
    <cellStyle name="Zarez 2" xfId="5" xr:uid="{00000000-0005-0000-0000-00000B000000}"/>
    <cellStyle name="Zarez 2 2" xfId="7" xr:uid="{00000000-0005-0000-0000-00000C000000}"/>
    <cellStyle name="Zarez 2 2 2" xfId="12" xr:uid="{00000000-0005-0000-0000-00000D000000}"/>
    <cellStyle name="Zarez 2 3" xfId="9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105704</xdr:rowOff>
    </xdr:from>
    <xdr:to>
      <xdr:col>7</xdr:col>
      <xdr:colOff>495694</xdr:colOff>
      <xdr:row>7</xdr:row>
      <xdr:rowOff>91836</xdr:rowOff>
    </xdr:to>
    <xdr:pic>
      <xdr:nvPicPr>
        <xdr:cNvPr id="5" name="Slika 4" descr="logo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76700" y="105704"/>
          <a:ext cx="952894" cy="11196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N40"/>
  <sheetViews>
    <sheetView zoomScaleNormal="100" workbookViewId="0">
      <selection activeCell="A15" sqref="A15:N20"/>
    </sheetView>
  </sheetViews>
  <sheetFormatPr defaultRowHeight="12.75" x14ac:dyDescent="0.2"/>
  <cols>
    <col min="1" max="14" width="9.7109375" customWidth="1"/>
  </cols>
  <sheetData>
    <row r="1" spans="1:14" x14ac:dyDescent="0.2">
      <c r="A1" s="585"/>
      <c r="B1" s="585"/>
      <c r="C1" s="585"/>
      <c r="D1" s="585"/>
      <c r="E1" s="585"/>
      <c r="F1" s="585"/>
      <c r="G1" s="585"/>
      <c r="H1" s="585"/>
      <c r="I1" s="585"/>
    </row>
    <row r="2" spans="1:14" ht="12.75" customHeight="1" x14ac:dyDescent="0.2">
      <c r="B2" s="165"/>
      <c r="C2" s="166"/>
      <c r="D2" s="586" t="s">
        <v>0</v>
      </c>
      <c r="E2" s="587"/>
      <c r="F2" s="587"/>
      <c r="I2" s="586" t="s">
        <v>1</v>
      </c>
      <c r="J2" s="592"/>
      <c r="K2" s="592"/>
    </row>
    <row r="3" spans="1:14" x14ac:dyDescent="0.2">
      <c r="B3" s="166"/>
      <c r="C3" s="166"/>
      <c r="D3" s="587"/>
      <c r="E3" s="587"/>
      <c r="F3" s="587"/>
      <c r="I3" s="592"/>
      <c r="J3" s="592"/>
      <c r="K3" s="592"/>
    </row>
    <row r="4" spans="1:14" x14ac:dyDescent="0.2">
      <c r="B4" s="166"/>
      <c r="C4" s="166"/>
      <c r="D4" s="587"/>
      <c r="E4" s="587"/>
      <c r="F4" s="587"/>
      <c r="I4" s="592"/>
      <c r="J4" s="592"/>
      <c r="K4" s="592"/>
    </row>
    <row r="5" spans="1:14" x14ac:dyDescent="0.2">
      <c r="B5" s="166"/>
      <c r="C5" s="166"/>
      <c r="D5" s="587"/>
      <c r="E5" s="587"/>
      <c r="F5" s="587"/>
      <c r="I5" s="592"/>
      <c r="J5" s="592"/>
      <c r="K5" s="592"/>
    </row>
    <row r="6" spans="1:14" x14ac:dyDescent="0.2">
      <c r="B6" s="166"/>
      <c r="C6" s="166"/>
      <c r="D6" s="587"/>
      <c r="E6" s="587"/>
      <c r="F6" s="587"/>
      <c r="I6" s="592"/>
      <c r="J6" s="592"/>
      <c r="K6" s="592"/>
    </row>
    <row r="7" spans="1:14" x14ac:dyDescent="0.2">
      <c r="B7" s="166"/>
      <c r="C7" s="166"/>
      <c r="D7" s="587"/>
      <c r="E7" s="587"/>
      <c r="F7" s="587"/>
      <c r="I7" s="592"/>
      <c r="J7" s="592"/>
      <c r="K7" s="592"/>
    </row>
    <row r="8" spans="1:14" ht="13.5" thickBot="1" x14ac:dyDescent="0.25">
      <c r="A8" s="230"/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</row>
    <row r="9" spans="1:14" ht="13.5" thickTop="1" x14ac:dyDescent="0.2"/>
    <row r="12" spans="1:14" ht="18.75" x14ac:dyDescent="0.3">
      <c r="L12" s="593" t="s">
        <v>979</v>
      </c>
      <c r="M12" s="593"/>
      <c r="N12" s="593"/>
    </row>
    <row r="15" spans="1:14" ht="12.75" customHeight="1" x14ac:dyDescent="0.2">
      <c r="A15" s="588" t="s">
        <v>2</v>
      </c>
      <c r="B15" s="585"/>
      <c r="C15" s="585"/>
      <c r="D15" s="585"/>
      <c r="E15" s="585"/>
      <c r="F15" s="585"/>
      <c r="G15" s="585"/>
      <c r="H15" s="585"/>
      <c r="I15" s="585"/>
      <c r="J15" s="585"/>
      <c r="K15" s="585"/>
      <c r="L15" s="589"/>
      <c r="M15" s="589"/>
      <c r="N15" s="589"/>
    </row>
    <row r="16" spans="1:14" x14ac:dyDescent="0.2">
      <c r="A16" s="585"/>
      <c r="B16" s="585"/>
      <c r="C16" s="585"/>
      <c r="D16" s="585"/>
      <c r="E16" s="585"/>
      <c r="F16" s="585"/>
      <c r="G16" s="585"/>
      <c r="H16" s="585"/>
      <c r="I16" s="585"/>
      <c r="J16" s="585"/>
      <c r="K16" s="585"/>
      <c r="L16" s="589"/>
      <c r="M16" s="589"/>
      <c r="N16" s="589"/>
    </row>
    <row r="17" spans="1:14" x14ac:dyDescent="0.2">
      <c r="A17" s="585"/>
      <c r="B17" s="585"/>
      <c r="C17" s="585"/>
      <c r="D17" s="585"/>
      <c r="E17" s="585"/>
      <c r="F17" s="585"/>
      <c r="G17" s="585"/>
      <c r="H17" s="585"/>
      <c r="I17" s="585"/>
      <c r="J17" s="585"/>
      <c r="K17" s="585"/>
      <c r="L17" s="589"/>
      <c r="M17" s="589"/>
      <c r="N17" s="589"/>
    </row>
    <row r="18" spans="1:14" x14ac:dyDescent="0.2">
      <c r="A18" s="585"/>
      <c r="B18" s="585"/>
      <c r="C18" s="585"/>
      <c r="D18" s="585"/>
      <c r="E18" s="585"/>
      <c r="F18" s="585"/>
      <c r="G18" s="585"/>
      <c r="H18" s="585"/>
      <c r="I18" s="585"/>
      <c r="J18" s="585"/>
      <c r="K18" s="585"/>
      <c r="L18" s="589"/>
      <c r="M18" s="589"/>
      <c r="N18" s="589"/>
    </row>
    <row r="19" spans="1:14" x14ac:dyDescent="0.2">
      <c r="A19" s="585"/>
      <c r="B19" s="585"/>
      <c r="C19" s="585"/>
      <c r="D19" s="585"/>
      <c r="E19" s="585"/>
      <c r="F19" s="585"/>
      <c r="G19" s="585"/>
      <c r="H19" s="585"/>
      <c r="I19" s="585"/>
      <c r="J19" s="585"/>
      <c r="K19" s="585"/>
      <c r="L19" s="589"/>
      <c r="M19" s="589"/>
      <c r="N19" s="589"/>
    </row>
    <row r="20" spans="1:14" ht="13.5" customHeight="1" x14ac:dyDescent="0.2">
      <c r="A20" s="585"/>
      <c r="B20" s="585"/>
      <c r="C20" s="585"/>
      <c r="D20" s="585"/>
      <c r="E20" s="585"/>
      <c r="F20" s="585"/>
      <c r="G20" s="585"/>
      <c r="H20" s="585"/>
      <c r="I20" s="585"/>
      <c r="J20" s="585"/>
      <c r="K20" s="585"/>
      <c r="L20" s="589"/>
      <c r="M20" s="589"/>
      <c r="N20" s="589"/>
    </row>
    <row r="25" spans="1:14" x14ac:dyDescent="0.2">
      <c r="N25" s="65"/>
    </row>
    <row r="38" spans="1:14" x14ac:dyDescent="0.2">
      <c r="A38" s="590" t="s">
        <v>949</v>
      </c>
      <c r="B38" s="591"/>
      <c r="C38" s="591"/>
      <c r="D38" s="591"/>
      <c r="E38" s="591"/>
      <c r="F38" s="591"/>
      <c r="G38" s="591"/>
      <c r="H38" s="591"/>
      <c r="I38" s="591"/>
      <c r="J38" s="591"/>
      <c r="K38" s="591"/>
      <c r="L38" s="591"/>
      <c r="M38" s="591"/>
      <c r="N38" s="591"/>
    </row>
    <row r="39" spans="1:14" x14ac:dyDescent="0.2">
      <c r="A39" s="591"/>
      <c r="B39" s="591"/>
      <c r="C39" s="591"/>
      <c r="D39" s="591"/>
      <c r="E39" s="591"/>
      <c r="F39" s="591"/>
      <c r="G39" s="591"/>
      <c r="H39" s="591"/>
      <c r="I39" s="591"/>
      <c r="J39" s="591"/>
      <c r="K39" s="591"/>
      <c r="L39" s="591"/>
      <c r="M39" s="591"/>
      <c r="N39" s="591"/>
    </row>
    <row r="40" spans="1:14" ht="15.75" x14ac:dyDescent="0.2">
      <c r="A40" s="498"/>
      <c r="B40" s="498"/>
      <c r="C40" s="498"/>
      <c r="D40" s="498"/>
      <c r="E40" s="498"/>
      <c r="F40" s="498"/>
      <c r="G40" s="498"/>
      <c r="H40" s="498"/>
      <c r="I40" s="498"/>
    </row>
  </sheetData>
  <mergeCells count="6">
    <mergeCell ref="A1:I1"/>
    <mergeCell ref="D2:F7"/>
    <mergeCell ref="A15:N20"/>
    <mergeCell ref="A38:N39"/>
    <mergeCell ref="I2:K7"/>
    <mergeCell ref="L12:N12"/>
  </mergeCells>
  <phoneticPr fontId="0" type="noConversion"/>
  <pageMargins left="0.6692913385826772" right="0.43307086614173229" top="0.5" bottom="0.76" header="0.51181102362204722" footer="0.51181102362204722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42"/>
  <dimension ref="B1:P94"/>
  <sheetViews>
    <sheetView topLeftCell="G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6" ht="13.5" thickBot="1" x14ac:dyDescent="0.25"/>
    <row r="2" spans="2:16" s="63" customFormat="1" ht="20.100000000000001" customHeight="1" thickTop="1" thickBot="1" x14ac:dyDescent="0.25">
      <c r="B2" s="638" t="s">
        <v>573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6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6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5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6" s="1" customFormat="1" ht="27" customHeight="1" x14ac:dyDescent="0.2">
      <c r="B5" s="646"/>
      <c r="C5" s="648"/>
      <c r="D5" s="648"/>
      <c r="E5" s="650"/>
      <c r="F5" s="652"/>
      <c r="G5" s="650"/>
      <c r="H5" s="652"/>
      <c r="I5" s="66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6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6" s="2" customFormat="1" ht="12.95" customHeight="1" x14ac:dyDescent="0.25">
      <c r="B7" s="6" t="s">
        <v>561</v>
      </c>
      <c r="C7" s="7" t="s">
        <v>554</v>
      </c>
      <c r="D7" s="7" t="s">
        <v>574</v>
      </c>
      <c r="E7" s="285" t="s">
        <v>556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6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1">
        <f t="shared" ref="I8:K8" si="0">SUM(I9:I11)</f>
        <v>105330</v>
      </c>
      <c r="J8" s="151">
        <f t="shared" si="0"/>
        <v>105330</v>
      </c>
      <c r="K8" s="151">
        <f t="shared" si="0"/>
        <v>58625</v>
      </c>
      <c r="L8" s="320">
        <f>SUM(L9:L11)</f>
        <v>94320</v>
      </c>
      <c r="M8" s="154">
        <f>SUM(M9:M11)</f>
        <v>0</v>
      </c>
      <c r="N8" s="480">
        <f>SUM(N9:N11)</f>
        <v>94320</v>
      </c>
      <c r="O8" s="532">
        <f t="shared" ref="O8:O29" si="1">IF(J8=0,"",N8/J8*100)</f>
        <v>89.54713756764454</v>
      </c>
    </row>
    <row r="9" spans="2:16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76410</v>
      </c>
      <c r="J9" s="152">
        <v>76410</v>
      </c>
      <c r="K9" s="152">
        <v>40091</v>
      </c>
      <c r="L9" s="250">
        <f>69200+100</f>
        <v>69300</v>
      </c>
      <c r="M9" s="152">
        <v>0</v>
      </c>
      <c r="N9" s="481">
        <f>SUM(L9:M9)</f>
        <v>69300</v>
      </c>
      <c r="O9" s="533">
        <f t="shared" si="1"/>
        <v>90.694935217903421</v>
      </c>
      <c r="P9" s="45"/>
    </row>
    <row r="10" spans="2:16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28920</v>
      </c>
      <c r="J10" s="152">
        <v>28920</v>
      </c>
      <c r="K10" s="152">
        <v>18534</v>
      </c>
      <c r="L10" s="250">
        <f>24120+100+2*400</f>
        <v>25020</v>
      </c>
      <c r="M10" s="152">
        <v>0</v>
      </c>
      <c r="N10" s="481">
        <f t="shared" ref="N10" si="2">SUM(L10:M10)</f>
        <v>25020</v>
      </c>
      <c r="O10" s="533">
        <f t="shared" si="1"/>
        <v>86.514522821576762</v>
      </c>
      <c r="P10" s="45"/>
    </row>
    <row r="11" spans="2:16" ht="8.1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6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1">
        <f t="shared" ref="I12:K12" si="3">I13</f>
        <v>8340</v>
      </c>
      <c r="J12" s="151">
        <f t="shared" si="3"/>
        <v>8340</v>
      </c>
      <c r="K12" s="151">
        <f t="shared" si="3"/>
        <v>4455</v>
      </c>
      <c r="L12" s="320">
        <f t="shared" ref="L12:N12" si="4">L13</f>
        <v>7570</v>
      </c>
      <c r="M12" s="154">
        <f t="shared" si="4"/>
        <v>0</v>
      </c>
      <c r="N12" s="480">
        <f t="shared" si="4"/>
        <v>7570</v>
      </c>
      <c r="O12" s="532">
        <f t="shared" si="1"/>
        <v>90.767386091127094</v>
      </c>
    </row>
    <row r="13" spans="2:16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8340</v>
      </c>
      <c r="J13" s="152">
        <v>8340</v>
      </c>
      <c r="K13" s="152">
        <v>4455</v>
      </c>
      <c r="L13" s="250">
        <f>7550+20</f>
        <v>7570</v>
      </c>
      <c r="M13" s="152">
        <v>0</v>
      </c>
      <c r="N13" s="481">
        <f>SUM(L13:M13)</f>
        <v>7570</v>
      </c>
      <c r="O13" s="533">
        <f t="shared" si="1"/>
        <v>90.767386091127094</v>
      </c>
    </row>
    <row r="14" spans="2:16" ht="8.1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57"/>
      <c r="O14" s="533" t="str">
        <f t="shared" si="1"/>
        <v/>
      </c>
    </row>
    <row r="15" spans="2:16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1">
        <f t="shared" ref="I15:K15" si="5">SUM(I16:I24)</f>
        <v>7000</v>
      </c>
      <c r="J15" s="151">
        <f t="shared" si="5"/>
        <v>7000</v>
      </c>
      <c r="K15" s="151">
        <f t="shared" si="5"/>
        <v>2949</v>
      </c>
      <c r="L15" s="321">
        <f>SUM(L16:L24)</f>
        <v>7500</v>
      </c>
      <c r="M15" s="156">
        <f>SUM(M16:M24)</f>
        <v>0</v>
      </c>
      <c r="N15" s="455">
        <f>SUM(N16:N24)</f>
        <v>7500</v>
      </c>
      <c r="O15" s="532">
        <f t="shared" si="1"/>
        <v>107.14285714285714</v>
      </c>
    </row>
    <row r="16" spans="2:16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700</v>
      </c>
      <c r="J16" s="152">
        <v>700</v>
      </c>
      <c r="K16" s="152">
        <v>235</v>
      </c>
      <c r="L16" s="250">
        <v>700</v>
      </c>
      <c r="M16" s="152">
        <v>0</v>
      </c>
      <c r="N16" s="481">
        <f t="shared" ref="N16:N24" si="6">SUM(L16:M16)</f>
        <v>700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0</v>
      </c>
      <c r="J17" s="152">
        <v>0</v>
      </c>
      <c r="K17" s="152">
        <v>0</v>
      </c>
      <c r="L17" s="250">
        <v>0</v>
      </c>
      <c r="M17" s="152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3000</v>
      </c>
      <c r="J18" s="152">
        <v>3000</v>
      </c>
      <c r="K18" s="152">
        <v>743</v>
      </c>
      <c r="L18" s="250">
        <v>3000</v>
      </c>
      <c r="M18" s="152">
        <v>0</v>
      </c>
      <c r="N18" s="481">
        <f t="shared" si="6"/>
        <v>3000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500</v>
      </c>
      <c r="J19" s="152">
        <v>0</v>
      </c>
      <c r="K19" s="152">
        <v>0</v>
      </c>
      <c r="L19" s="250">
        <v>0</v>
      </c>
      <c r="M19" s="152">
        <v>0</v>
      </c>
      <c r="N19" s="481">
        <f t="shared" si="6"/>
        <v>0</v>
      </c>
      <c r="O19" s="533" t="str">
        <f t="shared" si="1"/>
        <v/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0</v>
      </c>
      <c r="J20" s="152">
        <v>0</v>
      </c>
      <c r="K20" s="152">
        <v>0</v>
      </c>
      <c r="L20" s="250">
        <v>0</v>
      </c>
      <c r="M20" s="152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800</v>
      </c>
      <c r="J22" s="152">
        <v>800</v>
      </c>
      <c r="K22" s="152">
        <v>35</v>
      </c>
      <c r="L22" s="250">
        <v>800</v>
      </c>
      <c r="M22" s="152">
        <v>0</v>
      </c>
      <c r="N22" s="481">
        <f t="shared" si="6"/>
        <v>800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2000</v>
      </c>
      <c r="J24" s="152">
        <v>2500</v>
      </c>
      <c r="K24" s="152">
        <v>1936</v>
      </c>
      <c r="L24" s="250">
        <v>3000</v>
      </c>
      <c r="M24" s="152">
        <v>0</v>
      </c>
      <c r="N24" s="481">
        <f t="shared" si="6"/>
        <v>3000</v>
      </c>
      <c r="O24" s="533">
        <f t="shared" si="1"/>
        <v>120</v>
      </c>
    </row>
    <row r="25" spans="2:15" s="1" customFormat="1" ht="8.1" customHeight="1" x14ac:dyDescent="0.2">
      <c r="B25" s="12"/>
      <c r="C25" s="8"/>
      <c r="D25" s="8"/>
      <c r="E25" s="284"/>
      <c r="F25" s="127"/>
      <c r="G25" s="143"/>
      <c r="H25" s="23"/>
      <c r="I25" s="152"/>
      <c r="J25" s="152"/>
      <c r="K25" s="152"/>
      <c r="L25" s="250"/>
      <c r="M25" s="152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1">
        <f t="shared" ref="I26:K26" si="7">SUM(I27:I28)</f>
        <v>2000</v>
      </c>
      <c r="J26" s="151">
        <f t="shared" si="7"/>
        <v>2000</v>
      </c>
      <c r="K26" s="151">
        <f t="shared" si="7"/>
        <v>0</v>
      </c>
      <c r="L26" s="320">
        <f t="shared" ref="L26:N26" si="8">SUM(L27:L28)</f>
        <v>2000</v>
      </c>
      <c r="M26" s="154">
        <f t="shared" si="8"/>
        <v>0</v>
      </c>
      <c r="N26" s="455">
        <f t="shared" si="8"/>
        <v>2000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2">
        <v>0</v>
      </c>
      <c r="J27" s="152">
        <v>0</v>
      </c>
      <c r="K27" s="152">
        <v>0</v>
      </c>
      <c r="L27" s="250">
        <v>0</v>
      </c>
      <c r="M27" s="152">
        <v>0</v>
      </c>
      <c r="N27" s="481">
        <f t="shared" ref="N27:N28" si="9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2">
        <v>2000</v>
      </c>
      <c r="J28" s="152">
        <v>2000</v>
      </c>
      <c r="K28" s="152">
        <v>0</v>
      </c>
      <c r="L28" s="250">
        <v>2000</v>
      </c>
      <c r="M28" s="152">
        <v>0</v>
      </c>
      <c r="N28" s="481">
        <f t="shared" si="9"/>
        <v>2000</v>
      </c>
      <c r="O28" s="533">
        <f t="shared" si="1"/>
        <v>100</v>
      </c>
    </row>
    <row r="29" spans="2:15" ht="8.1" customHeight="1" x14ac:dyDescent="0.2">
      <c r="B29" s="10"/>
      <c r="C29" s="11"/>
      <c r="D29" s="11"/>
      <c r="E29" s="11"/>
      <c r="F29" s="119"/>
      <c r="G29" s="134"/>
      <c r="H29" s="22"/>
      <c r="I29" s="152"/>
      <c r="J29" s="152"/>
      <c r="K29" s="152"/>
      <c r="L29" s="250"/>
      <c r="M29" s="152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46">
        <v>3</v>
      </c>
      <c r="J30" s="246">
        <v>3</v>
      </c>
      <c r="K30" s="246">
        <v>1</v>
      </c>
      <c r="L30" s="322">
        <v>2</v>
      </c>
      <c r="M30" s="154"/>
      <c r="N30" s="450">
        <v>2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122670</v>
      </c>
      <c r="J31" s="14">
        <f t="shared" si="10"/>
        <v>122670</v>
      </c>
      <c r="K31" s="14">
        <f t="shared" si="10"/>
        <v>66029</v>
      </c>
      <c r="L31" s="259">
        <f t="shared" si="10"/>
        <v>111390</v>
      </c>
      <c r="M31" s="14">
        <f t="shared" si="10"/>
        <v>0</v>
      </c>
      <c r="N31" s="455">
        <f t="shared" si="10"/>
        <v>111390</v>
      </c>
      <c r="O31" s="532">
        <f>IF(J31=0,"",N31/J31*100)</f>
        <v>90.804597701149419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/>
      <c r="J32" s="14"/>
      <c r="K32" s="14"/>
      <c r="L32" s="259"/>
      <c r="M32" s="14"/>
      <c r="N32" s="455"/>
      <c r="O32" s="533" t="str">
        <f>IF(J32=0,"",N32/J32*100)</f>
        <v/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256"/>
      <c r="J33" s="14"/>
      <c r="K33" s="14"/>
      <c r="L33" s="259"/>
      <c r="M33" s="14"/>
      <c r="N33" s="455"/>
      <c r="O33" s="533" t="str">
        <f>IF(J33=0,"",N33/J33*100)</f>
        <v/>
      </c>
    </row>
    <row r="34" spans="2:15" ht="8.1" customHeight="1" thickBot="1" x14ac:dyDescent="0.25">
      <c r="B34" s="15"/>
      <c r="C34" s="16"/>
      <c r="D34" s="16"/>
      <c r="E34" s="16"/>
      <c r="F34" s="120"/>
      <c r="G34" s="135"/>
      <c r="H34" s="16"/>
      <c r="I34" s="16"/>
      <c r="J34" s="16"/>
      <c r="K34" s="16"/>
      <c r="L34" s="15"/>
      <c r="M34" s="16"/>
      <c r="N34" s="475"/>
      <c r="O34" s="534"/>
    </row>
    <row r="35" spans="2:15" ht="12.95" customHeight="1" x14ac:dyDescent="0.2">
      <c r="F35" s="121"/>
      <c r="G35" s="136"/>
      <c r="N35" s="162"/>
    </row>
    <row r="36" spans="2:15" ht="12.95" customHeight="1" x14ac:dyDescent="0.2">
      <c r="F36" s="121"/>
      <c r="G36" s="136"/>
      <c r="N36" s="162"/>
    </row>
    <row r="37" spans="2:15" ht="12.95" customHeight="1" x14ac:dyDescent="0.2">
      <c r="F37" s="121"/>
      <c r="G37" s="136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7.100000000000001" customHeight="1" x14ac:dyDescent="0.2">
      <c r="F58" s="121"/>
      <c r="G58" s="136"/>
      <c r="N58" s="162"/>
    </row>
    <row r="59" spans="6:14" ht="14.25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46"/>
  <dimension ref="B1:P94"/>
  <sheetViews>
    <sheetView topLeftCell="F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6" ht="13.5" thickBot="1" x14ac:dyDescent="0.25"/>
    <row r="2" spans="2:16" s="63" customFormat="1" ht="20.100000000000001" customHeight="1" thickTop="1" thickBot="1" x14ac:dyDescent="0.25">
      <c r="B2" s="638" t="s">
        <v>575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6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6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6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6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6" s="2" customFormat="1" ht="12.95" customHeight="1" x14ac:dyDescent="0.25">
      <c r="B7" s="6" t="s">
        <v>561</v>
      </c>
      <c r="C7" s="7" t="s">
        <v>554</v>
      </c>
      <c r="D7" s="7" t="s">
        <v>576</v>
      </c>
      <c r="E7" s="285" t="s">
        <v>556</v>
      </c>
      <c r="F7" s="5"/>
      <c r="G7" s="5"/>
      <c r="H7" s="5"/>
      <c r="I7" s="255"/>
      <c r="J7" s="265"/>
      <c r="K7" s="265"/>
      <c r="L7" s="4"/>
      <c r="M7" s="5"/>
      <c r="N7" s="479"/>
      <c r="O7" s="531"/>
    </row>
    <row r="8" spans="2:16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1">
        <f t="shared" ref="I8:K8" si="0">SUM(I9:I11)</f>
        <v>297600</v>
      </c>
      <c r="J8" s="151">
        <f t="shared" si="0"/>
        <v>297600</v>
      </c>
      <c r="K8" s="151">
        <f t="shared" si="0"/>
        <v>119998</v>
      </c>
      <c r="L8" s="320">
        <f>SUM(L9:L11)</f>
        <v>246400</v>
      </c>
      <c r="M8" s="263">
        <f>SUM(M9:M11)</f>
        <v>0</v>
      </c>
      <c r="N8" s="480">
        <f>SUM(N9:N11)</f>
        <v>246400</v>
      </c>
      <c r="O8" s="532">
        <f t="shared" ref="O8:O29" si="1">IF(J8=0,"",N8/J8*100)</f>
        <v>82.795698924731184</v>
      </c>
    </row>
    <row r="9" spans="2:16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264">
        <v>246890</v>
      </c>
      <c r="J9" s="264">
        <v>246890</v>
      </c>
      <c r="K9" s="264">
        <v>100167</v>
      </c>
      <c r="L9" s="250">
        <f>200750+3*700+300</f>
        <v>203150</v>
      </c>
      <c r="M9" s="264">
        <v>0</v>
      </c>
      <c r="N9" s="481">
        <f>SUM(L9:M9)</f>
        <v>203150</v>
      </c>
      <c r="O9" s="533">
        <f t="shared" si="1"/>
        <v>82.28360808457208</v>
      </c>
      <c r="P9" s="45"/>
    </row>
    <row r="10" spans="2:16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264">
        <v>50710</v>
      </c>
      <c r="J10" s="264">
        <v>50710</v>
      </c>
      <c r="K10" s="264">
        <v>19831</v>
      </c>
      <c r="L10" s="250">
        <f>40150+300+7*400</f>
        <v>43250</v>
      </c>
      <c r="M10" s="264">
        <v>0</v>
      </c>
      <c r="N10" s="481">
        <f t="shared" ref="N10" si="2">SUM(L10:M10)</f>
        <v>43250</v>
      </c>
      <c r="O10" s="533">
        <f t="shared" si="1"/>
        <v>85.28889765332282</v>
      </c>
      <c r="P10" s="45"/>
    </row>
    <row r="11" spans="2:16" ht="12.95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264"/>
      <c r="N11" s="481"/>
      <c r="O11" s="533" t="str">
        <f t="shared" si="1"/>
        <v/>
      </c>
    </row>
    <row r="12" spans="2:16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1">
        <f t="shared" ref="I12:K12" si="3">I13</f>
        <v>26200</v>
      </c>
      <c r="J12" s="151">
        <f t="shared" si="3"/>
        <v>26200</v>
      </c>
      <c r="K12" s="151">
        <f t="shared" si="3"/>
        <v>10518</v>
      </c>
      <c r="L12" s="320">
        <f t="shared" ref="L12:N12" si="4">L13</f>
        <v>21390</v>
      </c>
      <c r="M12" s="263">
        <f t="shared" si="4"/>
        <v>0</v>
      </c>
      <c r="N12" s="480">
        <f t="shared" si="4"/>
        <v>21390</v>
      </c>
      <c r="O12" s="532">
        <f t="shared" si="1"/>
        <v>81.641221374045799</v>
      </c>
    </row>
    <row r="13" spans="2:16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26200</v>
      </c>
      <c r="J13" s="152">
        <v>26200</v>
      </c>
      <c r="K13" s="152">
        <v>10518</v>
      </c>
      <c r="L13" s="250">
        <f>21100+3*80+50</f>
        <v>21390</v>
      </c>
      <c r="M13" s="264">
        <v>0</v>
      </c>
      <c r="N13" s="481">
        <f>SUM(L13:M13)</f>
        <v>21390</v>
      </c>
      <c r="O13" s="533">
        <f t="shared" si="1"/>
        <v>81.641221374045799</v>
      </c>
    </row>
    <row r="14" spans="2:16" ht="12.95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57"/>
      <c r="O14" s="533" t="str">
        <f t="shared" si="1"/>
        <v/>
      </c>
    </row>
    <row r="15" spans="2:16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1">
        <f t="shared" ref="I15:K15" si="5">SUM(I16:I24)</f>
        <v>24700</v>
      </c>
      <c r="J15" s="151">
        <f t="shared" si="5"/>
        <v>24700</v>
      </c>
      <c r="K15" s="151">
        <f t="shared" si="5"/>
        <v>14099</v>
      </c>
      <c r="L15" s="321">
        <f>SUM(L16:L24)</f>
        <v>36000</v>
      </c>
      <c r="M15" s="156">
        <f>SUM(M16:M24)</f>
        <v>0</v>
      </c>
      <c r="N15" s="455">
        <f>SUM(N16:N24)</f>
        <v>36000</v>
      </c>
      <c r="O15" s="532">
        <f t="shared" si="1"/>
        <v>145.748987854251</v>
      </c>
    </row>
    <row r="16" spans="2:16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5000</v>
      </c>
      <c r="J16" s="152">
        <v>2300</v>
      </c>
      <c r="K16" s="152">
        <v>1630</v>
      </c>
      <c r="L16" s="250">
        <v>7000</v>
      </c>
      <c r="M16" s="152">
        <v>0</v>
      </c>
      <c r="N16" s="481">
        <f t="shared" ref="N16:N24" si="6">SUM(L16:M16)</f>
        <v>7000</v>
      </c>
      <c r="O16" s="533">
        <f t="shared" si="1"/>
        <v>304.34782608695656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0</v>
      </c>
      <c r="J17" s="152">
        <v>0</v>
      </c>
      <c r="K17" s="152">
        <v>0</v>
      </c>
      <c r="L17" s="250">
        <v>0</v>
      </c>
      <c r="M17" s="152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2500</v>
      </c>
      <c r="J18" s="152">
        <v>2500</v>
      </c>
      <c r="K18" s="152">
        <v>459</v>
      </c>
      <c r="L18" s="250">
        <v>2000</v>
      </c>
      <c r="M18" s="152">
        <v>0</v>
      </c>
      <c r="N18" s="481">
        <f t="shared" si="6"/>
        <v>2000</v>
      </c>
      <c r="O18" s="533">
        <f t="shared" si="1"/>
        <v>80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1200</v>
      </c>
      <c r="J19" s="152">
        <v>1200</v>
      </c>
      <c r="K19" s="152">
        <v>0</v>
      </c>
      <c r="L19" s="250">
        <v>1200</v>
      </c>
      <c r="M19" s="152">
        <v>0</v>
      </c>
      <c r="N19" s="481">
        <f t="shared" si="6"/>
        <v>1200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0</v>
      </c>
      <c r="J20" s="152">
        <v>0</v>
      </c>
      <c r="K20" s="152">
        <v>0</v>
      </c>
      <c r="L20" s="250">
        <v>0</v>
      </c>
      <c r="M20" s="152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1000</v>
      </c>
      <c r="J22" s="152">
        <v>1000</v>
      </c>
      <c r="K22" s="152">
        <v>0</v>
      </c>
      <c r="L22" s="250">
        <v>800</v>
      </c>
      <c r="M22" s="152">
        <v>0</v>
      </c>
      <c r="N22" s="481">
        <f t="shared" si="6"/>
        <v>800</v>
      </c>
      <c r="O22" s="533">
        <f t="shared" si="1"/>
        <v>80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15000</v>
      </c>
      <c r="J24" s="152">
        <v>17700</v>
      </c>
      <c r="K24" s="152">
        <v>12010</v>
      </c>
      <c r="L24" s="250">
        <v>25000</v>
      </c>
      <c r="M24" s="152">
        <v>0</v>
      </c>
      <c r="N24" s="481">
        <f t="shared" si="6"/>
        <v>25000</v>
      </c>
      <c r="O24" s="533">
        <f t="shared" si="1"/>
        <v>141.24293785310735</v>
      </c>
    </row>
    <row r="25" spans="2:15" s="1" customFormat="1" ht="12.95" customHeight="1" x14ac:dyDescent="0.2">
      <c r="B25" s="12"/>
      <c r="C25" s="8"/>
      <c r="D25" s="8"/>
      <c r="E25" s="284"/>
      <c r="F25" s="127"/>
      <c r="G25" s="143"/>
      <c r="H25" s="23"/>
      <c r="I25" s="152"/>
      <c r="J25" s="152"/>
      <c r="K25" s="152"/>
      <c r="L25" s="250"/>
      <c r="M25" s="152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1">
        <f t="shared" ref="I26:K26" si="7">SUM(I27:I28)</f>
        <v>5000</v>
      </c>
      <c r="J26" s="151">
        <f t="shared" si="7"/>
        <v>5000</v>
      </c>
      <c r="K26" s="151">
        <f t="shared" si="7"/>
        <v>0</v>
      </c>
      <c r="L26" s="320">
        <f t="shared" ref="L26:N26" si="8">SUM(L27:L28)</f>
        <v>5000</v>
      </c>
      <c r="M26" s="154">
        <f t="shared" si="8"/>
        <v>0</v>
      </c>
      <c r="N26" s="455">
        <f t="shared" si="8"/>
        <v>5000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2">
        <v>0</v>
      </c>
      <c r="J27" s="152">
        <v>0</v>
      </c>
      <c r="K27" s="152">
        <v>0</v>
      </c>
      <c r="L27" s="250">
        <v>0</v>
      </c>
      <c r="M27" s="152">
        <v>0</v>
      </c>
      <c r="N27" s="481">
        <f t="shared" ref="N27:N28" si="9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2">
        <v>5000</v>
      </c>
      <c r="J28" s="152">
        <v>5000</v>
      </c>
      <c r="K28" s="152">
        <v>0</v>
      </c>
      <c r="L28" s="250">
        <v>5000</v>
      </c>
      <c r="M28" s="152">
        <v>0</v>
      </c>
      <c r="N28" s="481">
        <f t="shared" si="9"/>
        <v>5000</v>
      </c>
      <c r="O28" s="533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2"/>
      <c r="J29" s="152"/>
      <c r="K29" s="152"/>
      <c r="L29" s="250"/>
      <c r="M29" s="152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46" t="s">
        <v>577</v>
      </c>
      <c r="J30" s="246" t="s">
        <v>577</v>
      </c>
      <c r="K30" s="246" t="s">
        <v>578</v>
      </c>
      <c r="L30" s="322" t="s">
        <v>578</v>
      </c>
      <c r="M30" s="266"/>
      <c r="N30" s="450" t="s">
        <v>578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353500</v>
      </c>
      <c r="J31" s="14">
        <f t="shared" si="10"/>
        <v>353500</v>
      </c>
      <c r="K31" s="14">
        <f t="shared" si="10"/>
        <v>144615</v>
      </c>
      <c r="L31" s="259">
        <f t="shared" si="10"/>
        <v>308790</v>
      </c>
      <c r="M31" s="14">
        <f t="shared" si="10"/>
        <v>0</v>
      </c>
      <c r="N31" s="455">
        <f t="shared" si="10"/>
        <v>308790</v>
      </c>
      <c r="O31" s="532">
        <f>IF(J31=0,"",N31/J31*100)</f>
        <v>87.352192362093348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14"/>
      <c r="J32" s="14"/>
      <c r="K32" s="14"/>
      <c r="L32" s="259"/>
      <c r="M32" s="14"/>
      <c r="N32" s="455"/>
      <c r="O32" s="532" t="str">
        <f>IF(J32=0,"",N32/J32*100)</f>
        <v/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/>
      <c r="J33" s="14"/>
      <c r="K33" s="14"/>
      <c r="L33" s="259"/>
      <c r="M33" s="14"/>
      <c r="N33" s="455"/>
      <c r="O33" s="532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16"/>
      <c r="J34" s="16"/>
      <c r="K34" s="16"/>
      <c r="L34" s="15"/>
      <c r="M34" s="16"/>
      <c r="N34" s="475"/>
      <c r="O34" s="534"/>
    </row>
    <row r="35" spans="2:15" ht="12.95" customHeight="1" x14ac:dyDescent="0.2">
      <c r="F35" s="121"/>
      <c r="G35" s="136"/>
      <c r="L35" s="500"/>
      <c r="N35" s="162"/>
    </row>
    <row r="36" spans="2:15" ht="12.95" customHeight="1" x14ac:dyDescent="0.2">
      <c r="F36" s="121"/>
      <c r="G36" s="136"/>
      <c r="N36" s="162"/>
    </row>
    <row r="37" spans="2:15" ht="12.95" customHeight="1" x14ac:dyDescent="0.2">
      <c r="F37" s="121"/>
      <c r="G37" s="136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7.100000000000001" customHeight="1" x14ac:dyDescent="0.2">
      <c r="F58" s="121"/>
      <c r="G58" s="136"/>
      <c r="N58" s="162"/>
    </row>
    <row r="59" spans="6:14" ht="14.25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4"/>
  <dimension ref="A1:R94"/>
  <sheetViews>
    <sheetView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8" ht="13.5" thickBot="1" x14ac:dyDescent="0.25"/>
    <row r="2" spans="2:18" s="63" customFormat="1" ht="20.100000000000001" customHeight="1" thickTop="1" thickBot="1" x14ac:dyDescent="0.25">
      <c r="B2" s="638" t="s">
        <v>579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8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8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1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8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62"/>
      <c r="K5" s="658"/>
      <c r="L5" s="262" t="s">
        <v>377</v>
      </c>
      <c r="M5" s="160" t="s">
        <v>378</v>
      </c>
      <c r="N5" s="448" t="s">
        <v>379</v>
      </c>
      <c r="O5" s="655"/>
    </row>
    <row r="6" spans="2:18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8" s="2" customFormat="1" ht="12.95" customHeight="1" x14ac:dyDescent="0.25">
      <c r="B7" s="6" t="s">
        <v>561</v>
      </c>
      <c r="C7" s="7" t="s">
        <v>554</v>
      </c>
      <c r="D7" s="7" t="s">
        <v>580</v>
      </c>
      <c r="E7" s="285" t="s">
        <v>556</v>
      </c>
      <c r="F7" s="5"/>
      <c r="G7" s="5"/>
      <c r="H7" s="5"/>
      <c r="I7" s="5"/>
      <c r="J7" s="255"/>
      <c r="K7" s="255"/>
      <c r="L7" s="4"/>
      <c r="M7" s="5"/>
      <c r="N7" s="479"/>
      <c r="O7" s="531"/>
    </row>
    <row r="8" spans="2:18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1">
        <f t="shared" ref="I8:K8" si="0">SUM(I9:I11)</f>
        <v>146960</v>
      </c>
      <c r="J8" s="151">
        <f t="shared" si="0"/>
        <v>146960</v>
      </c>
      <c r="K8" s="151">
        <f t="shared" si="0"/>
        <v>76779</v>
      </c>
      <c r="L8" s="320">
        <f>SUM(L9:L11)</f>
        <v>157750</v>
      </c>
      <c r="M8" s="154">
        <f>SUM(M9:M11)</f>
        <v>0</v>
      </c>
      <c r="N8" s="480">
        <f>SUM(N9:N11)</f>
        <v>157750</v>
      </c>
      <c r="O8" s="532">
        <f t="shared" ref="O8:O32" si="1">IF(J8=0,"",N8/J8*100)</f>
        <v>107.34213391399021</v>
      </c>
    </row>
    <row r="9" spans="2:18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121260</v>
      </c>
      <c r="J9" s="152">
        <v>121260</v>
      </c>
      <c r="K9" s="152">
        <v>60990</v>
      </c>
      <c r="L9" s="250">
        <f>125150+200</f>
        <v>125350</v>
      </c>
      <c r="M9" s="152">
        <v>0</v>
      </c>
      <c r="N9" s="481">
        <f>SUM(L9:M9)</f>
        <v>125350</v>
      </c>
      <c r="O9" s="533">
        <f t="shared" si="1"/>
        <v>103.37291769750949</v>
      </c>
    </row>
    <row r="10" spans="2:18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25700</v>
      </c>
      <c r="J10" s="152">
        <v>25700</v>
      </c>
      <c r="K10" s="152">
        <v>15789</v>
      </c>
      <c r="L10" s="250">
        <f>30600+200+4*400</f>
        <v>32400</v>
      </c>
      <c r="M10" s="152">
        <v>0</v>
      </c>
      <c r="N10" s="481">
        <f t="shared" ref="N10" si="2">SUM(L10:M10)</f>
        <v>32400</v>
      </c>
      <c r="O10" s="533">
        <f t="shared" si="1"/>
        <v>126.07003891050583</v>
      </c>
    </row>
    <row r="11" spans="2:18" ht="8.1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8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1">
        <f t="shared" ref="I12:K12" si="3">I13</f>
        <v>12880</v>
      </c>
      <c r="J12" s="151">
        <f t="shared" si="3"/>
        <v>12880</v>
      </c>
      <c r="K12" s="151">
        <f t="shared" si="3"/>
        <v>6404</v>
      </c>
      <c r="L12" s="320">
        <f t="shared" ref="L12" si="4">L13</f>
        <v>13190</v>
      </c>
      <c r="M12" s="154">
        <f>M13</f>
        <v>0</v>
      </c>
      <c r="N12" s="480">
        <f>N13</f>
        <v>13190</v>
      </c>
      <c r="O12" s="532">
        <f t="shared" si="1"/>
        <v>102.40683229813665</v>
      </c>
      <c r="R12" s="47"/>
    </row>
    <row r="13" spans="2:18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12880</v>
      </c>
      <c r="J13" s="152">
        <v>12880</v>
      </c>
      <c r="K13" s="152">
        <v>6404</v>
      </c>
      <c r="L13" s="250">
        <f>13160+30</f>
        <v>13190</v>
      </c>
      <c r="M13" s="152">
        <v>0</v>
      </c>
      <c r="N13" s="481">
        <f>SUM(L13:M13)</f>
        <v>13190</v>
      </c>
      <c r="O13" s="533">
        <f t="shared" si="1"/>
        <v>102.40683229813665</v>
      </c>
    </row>
    <row r="14" spans="2:18" ht="8.1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57"/>
      <c r="O14" s="533" t="str">
        <f t="shared" si="1"/>
        <v/>
      </c>
    </row>
    <row r="15" spans="2:18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1">
        <f t="shared" ref="I15:K15" si="5">SUM(I16:I24)</f>
        <v>6500</v>
      </c>
      <c r="J15" s="151">
        <f t="shared" si="5"/>
        <v>6500</v>
      </c>
      <c r="K15" s="151">
        <f t="shared" si="5"/>
        <v>1226</v>
      </c>
      <c r="L15" s="321">
        <f>SUM(L16:L24)</f>
        <v>6500</v>
      </c>
      <c r="M15" s="156">
        <f>SUM(M16:M24)</f>
        <v>0</v>
      </c>
      <c r="N15" s="455">
        <f>SUM(N16:N24)</f>
        <v>6500</v>
      </c>
      <c r="O15" s="532">
        <f t="shared" si="1"/>
        <v>100</v>
      </c>
    </row>
    <row r="16" spans="2:18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500</v>
      </c>
      <c r="J16" s="152">
        <v>500</v>
      </c>
      <c r="K16" s="152">
        <v>222</v>
      </c>
      <c r="L16" s="250">
        <v>500</v>
      </c>
      <c r="M16" s="152">
        <v>0</v>
      </c>
      <c r="N16" s="481">
        <f t="shared" ref="N16:N24" si="6">SUM(L16:M16)</f>
        <v>500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0</v>
      </c>
      <c r="J17" s="152">
        <v>0</v>
      </c>
      <c r="K17" s="152">
        <v>0</v>
      </c>
      <c r="L17" s="250">
        <v>0</v>
      </c>
      <c r="M17" s="152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2500</v>
      </c>
      <c r="J18" s="152">
        <v>2500</v>
      </c>
      <c r="K18" s="152">
        <v>808</v>
      </c>
      <c r="L18" s="250">
        <v>2500</v>
      </c>
      <c r="M18" s="152">
        <v>0</v>
      </c>
      <c r="N18" s="481">
        <f t="shared" si="6"/>
        <v>2500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1500</v>
      </c>
      <c r="J19" s="152">
        <v>1500</v>
      </c>
      <c r="K19" s="152">
        <v>0</v>
      </c>
      <c r="L19" s="250">
        <v>1500</v>
      </c>
      <c r="M19" s="152">
        <v>0</v>
      </c>
      <c r="N19" s="481">
        <f t="shared" si="6"/>
        <v>1500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0</v>
      </c>
      <c r="J20" s="152">
        <v>0</v>
      </c>
      <c r="K20" s="152">
        <v>0</v>
      </c>
      <c r="L20" s="250">
        <v>0</v>
      </c>
      <c r="M20" s="152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500</v>
      </c>
      <c r="J22" s="152">
        <v>500</v>
      </c>
      <c r="K22" s="152">
        <v>0</v>
      </c>
      <c r="L22" s="250">
        <v>500</v>
      </c>
      <c r="M22" s="152">
        <v>0</v>
      </c>
      <c r="N22" s="481">
        <f t="shared" si="6"/>
        <v>500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1500</v>
      </c>
      <c r="J24" s="152">
        <v>1500</v>
      </c>
      <c r="K24" s="152">
        <v>196</v>
      </c>
      <c r="L24" s="250">
        <v>1500</v>
      </c>
      <c r="M24" s="152">
        <v>0</v>
      </c>
      <c r="N24" s="481">
        <f t="shared" si="6"/>
        <v>1500</v>
      </c>
      <c r="O24" s="533">
        <f t="shared" si="1"/>
        <v>100</v>
      </c>
    </row>
    <row r="25" spans="2:15" ht="8.1" customHeight="1" x14ac:dyDescent="0.2">
      <c r="B25" s="10"/>
      <c r="C25" s="11"/>
      <c r="D25" s="11"/>
      <c r="E25" s="11"/>
      <c r="F25" s="119"/>
      <c r="G25" s="134"/>
      <c r="H25" s="22"/>
      <c r="I25" s="151"/>
      <c r="J25" s="151"/>
      <c r="K25" s="151"/>
      <c r="L25" s="320"/>
      <c r="M25" s="154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284"/>
      <c r="F26" s="127">
        <v>614000</v>
      </c>
      <c r="G26" s="143"/>
      <c r="H26" s="23" t="s">
        <v>434</v>
      </c>
      <c r="I26" s="151">
        <f t="shared" ref="I26:K26" si="7">SUM(I27:I27)</f>
        <v>300000</v>
      </c>
      <c r="J26" s="151">
        <f t="shared" si="7"/>
        <v>300000</v>
      </c>
      <c r="K26" s="151">
        <f t="shared" si="7"/>
        <v>0</v>
      </c>
      <c r="L26" s="320">
        <f t="shared" ref="L26:M26" si="8">SUM(L27:L27)</f>
        <v>300000</v>
      </c>
      <c r="M26" s="154">
        <f t="shared" si="8"/>
        <v>0</v>
      </c>
      <c r="N26" s="455">
        <f t="shared" ref="N26" si="9">SUM(N27:N27)</f>
        <v>300000</v>
      </c>
      <c r="O26" s="532">
        <f t="shared" si="1"/>
        <v>100</v>
      </c>
    </row>
    <row r="27" spans="2:15" ht="24" customHeight="1" x14ac:dyDescent="0.2">
      <c r="B27" s="10"/>
      <c r="C27" s="11"/>
      <c r="D27" s="22"/>
      <c r="E27" s="22"/>
      <c r="F27" s="147">
        <v>614200</v>
      </c>
      <c r="G27" s="140" t="s">
        <v>456</v>
      </c>
      <c r="H27" s="298" t="s">
        <v>581</v>
      </c>
      <c r="I27" s="152">
        <v>300000</v>
      </c>
      <c r="J27" s="152">
        <v>300000</v>
      </c>
      <c r="K27" s="152">
        <v>0</v>
      </c>
      <c r="L27" s="250">
        <v>300000</v>
      </c>
      <c r="M27" s="152">
        <v>0</v>
      </c>
      <c r="N27" s="481">
        <f>SUM(L27:M27)</f>
        <v>300000</v>
      </c>
      <c r="O27" s="533">
        <f t="shared" si="1"/>
        <v>100</v>
      </c>
    </row>
    <row r="28" spans="2:15" ht="8.1" customHeight="1" x14ac:dyDescent="0.2">
      <c r="B28" s="10"/>
      <c r="C28" s="11"/>
      <c r="D28" s="11"/>
      <c r="E28" s="280"/>
      <c r="F28" s="123"/>
      <c r="G28" s="138"/>
      <c r="H28" s="22"/>
      <c r="I28" s="152"/>
      <c r="J28" s="152"/>
      <c r="K28" s="152"/>
      <c r="L28" s="250"/>
      <c r="M28" s="152"/>
      <c r="N28" s="457"/>
      <c r="O28" s="533" t="str">
        <f t="shared" si="1"/>
        <v/>
      </c>
    </row>
    <row r="29" spans="2:15" s="1" customFormat="1" ht="12.95" customHeight="1" x14ac:dyDescent="0.25">
      <c r="B29" s="12"/>
      <c r="C29" s="8"/>
      <c r="D29" s="8"/>
      <c r="E29" s="8"/>
      <c r="F29" s="118">
        <v>821000</v>
      </c>
      <c r="G29" s="133"/>
      <c r="H29" s="23" t="s">
        <v>526</v>
      </c>
      <c r="I29" s="151">
        <f t="shared" ref="I29:K29" si="10">SUM(I30:I31)</f>
        <v>2000</v>
      </c>
      <c r="J29" s="151">
        <f t="shared" si="10"/>
        <v>2000</v>
      </c>
      <c r="K29" s="151">
        <f t="shared" si="10"/>
        <v>0</v>
      </c>
      <c r="L29" s="320">
        <f t="shared" ref="L29" si="11">SUM(L30:L31)</f>
        <v>2000</v>
      </c>
      <c r="M29" s="154">
        <f>SUM(M30:M31)</f>
        <v>0</v>
      </c>
      <c r="N29" s="455">
        <f>SUM(N30:N31)</f>
        <v>2000</v>
      </c>
      <c r="O29" s="532">
        <f t="shared" si="1"/>
        <v>100</v>
      </c>
    </row>
    <row r="30" spans="2:15" ht="12.95" customHeight="1" x14ac:dyDescent="0.2">
      <c r="B30" s="10"/>
      <c r="C30" s="11"/>
      <c r="D30" s="11"/>
      <c r="E30" s="11"/>
      <c r="F30" s="119">
        <v>821200</v>
      </c>
      <c r="G30" s="134"/>
      <c r="H30" s="22" t="s">
        <v>528</v>
      </c>
      <c r="I30" s="152">
        <v>0</v>
      </c>
      <c r="J30" s="152">
        <v>0</v>
      </c>
      <c r="K30" s="152">
        <v>0</v>
      </c>
      <c r="L30" s="250">
        <v>0</v>
      </c>
      <c r="M30" s="152">
        <v>0</v>
      </c>
      <c r="N30" s="481">
        <f t="shared" ref="N30:N31" si="12">SUM(L30:M30)</f>
        <v>0</v>
      </c>
      <c r="O30" s="533" t="str">
        <f t="shared" si="1"/>
        <v/>
      </c>
    </row>
    <row r="31" spans="2:15" ht="12.95" customHeight="1" x14ac:dyDescent="0.2">
      <c r="B31" s="10"/>
      <c r="C31" s="11"/>
      <c r="D31" s="11"/>
      <c r="E31" s="11"/>
      <c r="F31" s="119">
        <v>821300</v>
      </c>
      <c r="G31" s="134"/>
      <c r="H31" s="22" t="s">
        <v>529</v>
      </c>
      <c r="I31" s="152">
        <v>2000</v>
      </c>
      <c r="J31" s="152">
        <v>2000</v>
      </c>
      <c r="K31" s="9">
        <v>0</v>
      </c>
      <c r="L31" s="250">
        <v>2000</v>
      </c>
      <c r="M31" s="152">
        <v>0</v>
      </c>
      <c r="N31" s="481">
        <f t="shared" si="12"/>
        <v>2000</v>
      </c>
      <c r="O31" s="533">
        <f t="shared" si="1"/>
        <v>100</v>
      </c>
    </row>
    <row r="32" spans="2:15" ht="8.1" customHeight="1" x14ac:dyDescent="0.2">
      <c r="B32" s="10"/>
      <c r="C32" s="11"/>
      <c r="D32" s="11"/>
      <c r="E32" s="11"/>
      <c r="F32" s="119"/>
      <c r="G32" s="134"/>
      <c r="H32" s="22"/>
      <c r="I32" s="152"/>
      <c r="J32" s="152"/>
      <c r="K32" s="152"/>
      <c r="L32" s="250"/>
      <c r="M32" s="152"/>
      <c r="N32" s="457"/>
      <c r="O32" s="533" t="str">
        <f t="shared" si="1"/>
        <v/>
      </c>
    </row>
    <row r="33" spans="1:18" s="1" customFormat="1" ht="12.95" customHeight="1" x14ac:dyDescent="0.25">
      <c r="B33" s="12"/>
      <c r="C33" s="8"/>
      <c r="D33" s="8"/>
      <c r="E33" s="8"/>
      <c r="F33" s="118"/>
      <c r="G33" s="133"/>
      <c r="H33" s="23" t="s">
        <v>540</v>
      </c>
      <c r="I33" s="154">
        <v>4</v>
      </c>
      <c r="J33" s="154">
        <v>4</v>
      </c>
      <c r="K33" s="154">
        <v>4</v>
      </c>
      <c r="L33" s="320">
        <v>4</v>
      </c>
      <c r="M33" s="154"/>
      <c r="N33" s="455">
        <v>4</v>
      </c>
      <c r="O33" s="533"/>
    </row>
    <row r="34" spans="1:18" s="1" customFormat="1" ht="12.95" customHeight="1" x14ac:dyDescent="0.25">
      <c r="B34" s="12"/>
      <c r="C34" s="8"/>
      <c r="D34" s="8"/>
      <c r="E34" s="8"/>
      <c r="F34" s="118"/>
      <c r="G34" s="133"/>
      <c r="H34" s="8" t="s">
        <v>557</v>
      </c>
      <c r="I34" s="14">
        <f t="shared" ref="I34:N34" si="13">I29+I26+I15+I12+I8</f>
        <v>468340</v>
      </c>
      <c r="J34" s="256">
        <f t="shared" si="13"/>
        <v>468340</v>
      </c>
      <c r="K34" s="256">
        <f t="shared" si="13"/>
        <v>84409</v>
      </c>
      <c r="L34" s="259">
        <f t="shared" si="13"/>
        <v>479440</v>
      </c>
      <c r="M34" s="14">
        <f t="shared" si="13"/>
        <v>0</v>
      </c>
      <c r="N34" s="455">
        <f t="shared" si="13"/>
        <v>479440</v>
      </c>
      <c r="O34" s="532">
        <f>IF(J34=0,"",N34/J34*100)</f>
        <v>102.37007302387156</v>
      </c>
    </row>
    <row r="35" spans="1:18" s="1" customFormat="1" ht="12.95" customHeight="1" x14ac:dyDescent="0.25">
      <c r="B35" s="12"/>
      <c r="C35" s="8"/>
      <c r="D35" s="8"/>
      <c r="E35" s="8"/>
      <c r="F35" s="118"/>
      <c r="G35" s="133"/>
      <c r="H35" s="8" t="s">
        <v>558</v>
      </c>
      <c r="I35" s="14">
        <f>I34+'5'!I31+'4'!I31+'3'!I31+'2'!I52</f>
        <v>4947480</v>
      </c>
      <c r="J35" s="256">
        <f>J34+'5'!J31+'4'!J31+'3'!J31+'2'!J52</f>
        <v>4364293</v>
      </c>
      <c r="K35" s="256">
        <f>K34+'5'!K31+'4'!K31+'3'!K31+'2'!K52</f>
        <v>1025213</v>
      </c>
      <c r="L35" s="259">
        <f>L34+'5'!L31+'4'!L31+'3'!L31+'2'!L52</f>
        <v>3409087</v>
      </c>
      <c r="M35" s="14">
        <f>M34+'5'!M31+'4'!M31+'3'!M31+'2'!M52</f>
        <v>949663</v>
      </c>
      <c r="N35" s="455">
        <f>N34+'5'!N31+'4'!N31+'3'!N31+'2'!N52</f>
        <v>4358750</v>
      </c>
      <c r="O35" s="532">
        <f>IF(J35=0,"",N35/J35*100)</f>
        <v>99.872992028720347</v>
      </c>
    </row>
    <row r="36" spans="1:18" s="1" customFormat="1" ht="12.95" customHeight="1" x14ac:dyDescent="0.25">
      <c r="B36" s="12"/>
      <c r="C36" s="8"/>
      <c r="D36" s="8"/>
      <c r="E36" s="8"/>
      <c r="F36" s="118"/>
      <c r="G36" s="133"/>
      <c r="H36" s="8" t="s">
        <v>559</v>
      </c>
      <c r="I36" s="279">
        <f>I35</f>
        <v>4947480</v>
      </c>
      <c r="J36" s="478">
        <f t="shared" ref="J36:N36" si="14">J35</f>
        <v>4364293</v>
      </c>
      <c r="K36" s="478">
        <f t="shared" ref="K36" si="15">K35</f>
        <v>1025213</v>
      </c>
      <c r="L36" s="489">
        <f t="shared" si="14"/>
        <v>3409087</v>
      </c>
      <c r="M36" s="279">
        <f t="shared" si="14"/>
        <v>949663</v>
      </c>
      <c r="N36" s="490">
        <f t="shared" si="14"/>
        <v>4358750</v>
      </c>
      <c r="O36" s="532">
        <f>IF(J36=0,"",N36/J36*100)</f>
        <v>99.872992028720347</v>
      </c>
    </row>
    <row r="37" spans="1:18" ht="8.1" customHeight="1" thickBot="1" x14ac:dyDescent="0.25">
      <c r="B37" s="15"/>
      <c r="C37" s="16"/>
      <c r="D37" s="16"/>
      <c r="E37" s="16"/>
      <c r="F37" s="120"/>
      <c r="G37" s="135"/>
      <c r="H37" s="16"/>
      <c r="I37" s="16"/>
      <c r="J37" s="25"/>
      <c r="K37" s="25"/>
      <c r="L37" s="15"/>
      <c r="M37" s="16"/>
      <c r="N37" s="475"/>
      <c r="O37" s="534"/>
    </row>
    <row r="38" spans="1:18" ht="12.95" customHeight="1" x14ac:dyDescent="0.2">
      <c r="F38" s="121"/>
      <c r="G38" s="136"/>
      <c r="N38" s="162"/>
    </row>
    <row r="39" spans="1:18" ht="12.95" customHeight="1" x14ac:dyDescent="0.2">
      <c r="F39" s="121"/>
      <c r="G39" s="136"/>
      <c r="N39" s="162"/>
    </row>
    <row r="40" spans="1:18" ht="12.95" customHeight="1" x14ac:dyDescent="0.2">
      <c r="F40" s="121"/>
      <c r="G40" s="136"/>
      <c r="N40" s="162"/>
    </row>
    <row r="41" spans="1:18" ht="12.95" customHeight="1" x14ac:dyDescent="0.2">
      <c r="F41" s="121"/>
      <c r="G41" s="136"/>
      <c r="N41" s="162"/>
    </row>
    <row r="42" spans="1:18" ht="12.95" customHeight="1" x14ac:dyDescent="0.2">
      <c r="F42" s="121"/>
      <c r="G42" s="136"/>
      <c r="N42" s="162"/>
    </row>
    <row r="43" spans="1:18" ht="12.95" customHeight="1" x14ac:dyDescent="0.2">
      <c r="F43" s="121"/>
      <c r="G43" s="136"/>
      <c r="N43" s="162"/>
    </row>
    <row r="44" spans="1:18" ht="12.95" customHeight="1" x14ac:dyDescent="0.2">
      <c r="F44" s="121"/>
      <c r="G44" s="136"/>
      <c r="N44" s="162"/>
    </row>
    <row r="45" spans="1:18" ht="12.95" customHeight="1" x14ac:dyDescent="0.2">
      <c r="F45" s="121"/>
      <c r="G45" s="136"/>
      <c r="N45" s="162"/>
    </row>
    <row r="46" spans="1:18" s="145" customFormat="1" ht="12.95" customHeight="1" x14ac:dyDescent="0.2">
      <c r="A46" s="9"/>
      <c r="B46" s="9"/>
      <c r="C46" s="9"/>
      <c r="D46" s="9"/>
      <c r="E46" s="9"/>
      <c r="F46" s="121"/>
      <c r="G46" s="136"/>
      <c r="H46" s="9"/>
      <c r="I46" s="9"/>
      <c r="J46" s="9"/>
      <c r="K46" s="9"/>
      <c r="L46" s="9"/>
      <c r="M46" s="9"/>
      <c r="N46" s="162"/>
      <c r="P46" s="9"/>
      <c r="Q46" s="9"/>
      <c r="R46" s="9"/>
    </row>
    <row r="47" spans="1:18" s="145" customFormat="1" ht="12.95" customHeight="1" x14ac:dyDescent="0.2">
      <c r="A47" s="9"/>
      <c r="B47" s="9"/>
      <c r="C47" s="9"/>
      <c r="D47" s="9"/>
      <c r="E47" s="9"/>
      <c r="F47" s="121"/>
      <c r="G47" s="136"/>
      <c r="H47" s="9"/>
      <c r="I47" s="9"/>
      <c r="J47" s="9"/>
      <c r="K47" s="9"/>
      <c r="L47" s="9"/>
      <c r="M47" s="9"/>
      <c r="N47" s="162"/>
      <c r="P47" s="9"/>
      <c r="Q47" s="9"/>
      <c r="R47" s="9"/>
    </row>
    <row r="48" spans="1:18" s="145" customFormat="1" ht="12.95" customHeight="1" x14ac:dyDescent="0.2">
      <c r="A48" s="9"/>
      <c r="B48" s="9"/>
      <c r="C48" s="9"/>
      <c r="D48" s="9"/>
      <c r="E48" s="9"/>
      <c r="F48" s="121"/>
      <c r="G48" s="136"/>
      <c r="H48" s="9"/>
      <c r="I48" s="9"/>
      <c r="J48" s="9"/>
      <c r="K48" s="9"/>
      <c r="L48" s="9"/>
      <c r="M48" s="9"/>
      <c r="N48" s="162"/>
      <c r="P48" s="9"/>
      <c r="Q48" s="9"/>
      <c r="R48" s="9"/>
    </row>
    <row r="49" spans="1:18" s="145" customFormat="1" ht="12.95" customHeight="1" x14ac:dyDescent="0.2">
      <c r="A49" s="9"/>
      <c r="B49" s="9"/>
      <c r="C49" s="9"/>
      <c r="D49" s="9"/>
      <c r="E49" s="9"/>
      <c r="F49" s="121"/>
      <c r="G49" s="136"/>
      <c r="H49" s="9"/>
      <c r="I49" s="9"/>
      <c r="J49" s="9"/>
      <c r="K49" s="9"/>
      <c r="L49" s="9"/>
      <c r="M49" s="9"/>
      <c r="N49" s="162"/>
      <c r="P49" s="9"/>
      <c r="Q49" s="9"/>
      <c r="R49" s="9"/>
    </row>
    <row r="50" spans="1:18" s="145" customFormat="1" ht="12.95" customHeight="1" x14ac:dyDescent="0.2">
      <c r="A50" s="9"/>
      <c r="B50" s="9"/>
      <c r="C50" s="9"/>
      <c r="D50" s="9"/>
      <c r="E50" s="9"/>
      <c r="F50" s="121"/>
      <c r="G50" s="136"/>
      <c r="H50" s="9"/>
      <c r="I50" s="9"/>
      <c r="J50" s="9"/>
      <c r="K50" s="9"/>
      <c r="L50" s="9"/>
      <c r="M50" s="9"/>
      <c r="N50" s="162"/>
      <c r="P50" s="9"/>
      <c r="Q50" s="9"/>
      <c r="R50" s="9"/>
    </row>
    <row r="51" spans="1:18" s="145" customFormat="1" ht="12.95" customHeight="1" x14ac:dyDescent="0.2">
      <c r="A51" s="9"/>
      <c r="B51" s="9"/>
      <c r="C51" s="9"/>
      <c r="D51" s="9"/>
      <c r="E51" s="9"/>
      <c r="F51" s="121"/>
      <c r="G51" s="136"/>
      <c r="H51" s="9"/>
      <c r="I51" s="9"/>
      <c r="J51" s="9"/>
      <c r="K51" s="9"/>
      <c r="L51" s="9"/>
      <c r="M51" s="9"/>
      <c r="N51" s="162"/>
      <c r="P51" s="9"/>
      <c r="Q51" s="9"/>
      <c r="R51" s="9"/>
    </row>
    <row r="52" spans="1:18" s="145" customFormat="1" ht="12.95" customHeight="1" x14ac:dyDescent="0.2">
      <c r="A52" s="9"/>
      <c r="B52" s="9"/>
      <c r="C52" s="9"/>
      <c r="D52" s="9"/>
      <c r="E52" s="9"/>
      <c r="F52" s="121"/>
      <c r="G52" s="136"/>
      <c r="H52" s="9"/>
      <c r="I52" s="9"/>
      <c r="J52" s="9"/>
      <c r="K52" s="9"/>
      <c r="L52" s="9"/>
      <c r="M52" s="9"/>
      <c r="N52" s="162"/>
      <c r="P52" s="9"/>
      <c r="Q52" s="9"/>
      <c r="R52" s="9"/>
    </row>
    <row r="53" spans="1:18" s="145" customFormat="1" ht="12.95" customHeight="1" x14ac:dyDescent="0.2">
      <c r="A53" s="9"/>
      <c r="B53" s="9"/>
      <c r="C53" s="9"/>
      <c r="D53" s="9"/>
      <c r="E53" s="9"/>
      <c r="F53" s="121"/>
      <c r="G53" s="136"/>
      <c r="H53" s="9"/>
      <c r="I53" s="9"/>
      <c r="J53" s="9"/>
      <c r="K53" s="9"/>
      <c r="L53" s="9"/>
      <c r="M53" s="9"/>
      <c r="N53" s="162"/>
      <c r="P53" s="9"/>
      <c r="Q53" s="9"/>
      <c r="R53" s="9"/>
    </row>
    <row r="54" spans="1:18" s="145" customFormat="1" ht="12.95" customHeight="1" x14ac:dyDescent="0.2">
      <c r="A54" s="9"/>
      <c r="B54" s="9"/>
      <c r="C54" s="9"/>
      <c r="D54" s="9"/>
      <c r="E54" s="9"/>
      <c r="F54" s="121"/>
      <c r="G54" s="136"/>
      <c r="H54" s="9"/>
      <c r="I54" s="9"/>
      <c r="J54" s="9"/>
      <c r="K54" s="9"/>
      <c r="L54" s="9"/>
      <c r="M54" s="9"/>
      <c r="N54" s="162"/>
      <c r="P54" s="9"/>
      <c r="Q54" s="9"/>
      <c r="R54" s="9"/>
    </row>
    <row r="55" spans="1:18" s="145" customFormat="1" ht="12.95" customHeight="1" x14ac:dyDescent="0.2">
      <c r="A55" s="9"/>
      <c r="B55" s="9"/>
      <c r="C55" s="9"/>
      <c r="D55" s="9"/>
      <c r="E55" s="9"/>
      <c r="F55" s="121"/>
      <c r="G55" s="136"/>
      <c r="H55" s="9"/>
      <c r="I55" s="9"/>
      <c r="J55" s="9"/>
      <c r="K55" s="9"/>
      <c r="L55" s="9"/>
      <c r="M55" s="9"/>
      <c r="N55" s="162"/>
      <c r="P55" s="9"/>
      <c r="Q55" s="9"/>
      <c r="R55" s="9"/>
    </row>
    <row r="56" spans="1:18" s="145" customFormat="1" ht="12.95" customHeight="1" x14ac:dyDescent="0.2">
      <c r="A56" s="9"/>
      <c r="B56" s="9"/>
      <c r="C56" s="9"/>
      <c r="D56" s="9"/>
      <c r="E56" s="9"/>
      <c r="F56" s="121"/>
      <c r="G56" s="136"/>
      <c r="H56" s="9"/>
      <c r="I56" s="9"/>
      <c r="J56" s="9"/>
      <c r="K56" s="9"/>
      <c r="L56" s="9"/>
      <c r="M56" s="9"/>
      <c r="N56" s="162"/>
      <c r="P56" s="9"/>
      <c r="Q56" s="9"/>
      <c r="R56" s="9"/>
    </row>
    <row r="57" spans="1:18" s="145" customFormat="1" ht="12.95" customHeight="1" x14ac:dyDescent="0.2">
      <c r="A57" s="9"/>
      <c r="B57" s="9"/>
      <c r="C57" s="9"/>
      <c r="D57" s="9"/>
      <c r="E57" s="9"/>
      <c r="F57" s="121"/>
      <c r="G57" s="136"/>
      <c r="H57" s="9"/>
      <c r="I57" s="9"/>
      <c r="J57" s="9"/>
      <c r="K57" s="9"/>
      <c r="L57" s="9"/>
      <c r="M57" s="9"/>
      <c r="N57" s="162"/>
      <c r="P57" s="9"/>
      <c r="Q57" s="9"/>
      <c r="R57" s="9"/>
    </row>
    <row r="58" spans="1:18" s="145" customFormat="1" ht="17.100000000000001" customHeight="1" x14ac:dyDescent="0.2">
      <c r="A58" s="9"/>
      <c r="B58" s="9"/>
      <c r="C58" s="9"/>
      <c r="D58" s="9"/>
      <c r="E58" s="9"/>
      <c r="F58" s="121"/>
      <c r="G58" s="136"/>
      <c r="H58" s="9"/>
      <c r="I58" s="9"/>
      <c r="J58" s="9"/>
      <c r="K58" s="9"/>
      <c r="L58" s="9"/>
      <c r="M58" s="9"/>
      <c r="N58" s="162"/>
      <c r="P58" s="9"/>
      <c r="Q58" s="9"/>
      <c r="R58" s="9"/>
    </row>
    <row r="59" spans="1:18" s="145" customFormat="1" ht="14.25" x14ac:dyDescent="0.2">
      <c r="A59" s="9"/>
      <c r="B59" s="9"/>
      <c r="C59" s="9"/>
      <c r="D59" s="9"/>
      <c r="E59" s="9"/>
      <c r="F59" s="121"/>
      <c r="G59" s="136"/>
      <c r="H59" s="9"/>
      <c r="I59" s="9"/>
      <c r="J59" s="9"/>
      <c r="K59" s="9"/>
      <c r="L59" s="9"/>
      <c r="M59" s="9"/>
      <c r="N59" s="162"/>
      <c r="P59" s="9"/>
      <c r="Q59" s="9"/>
      <c r="R59" s="9"/>
    </row>
    <row r="60" spans="1:18" s="145" customFormat="1" ht="14.25" x14ac:dyDescent="0.2">
      <c r="A60" s="9"/>
      <c r="B60" s="9"/>
      <c r="C60" s="9"/>
      <c r="D60" s="9"/>
      <c r="E60" s="9"/>
      <c r="F60" s="121"/>
      <c r="G60" s="136"/>
      <c r="H60" s="9"/>
      <c r="I60" s="9"/>
      <c r="J60" s="9"/>
      <c r="K60" s="9"/>
      <c r="L60" s="9"/>
      <c r="M60" s="9"/>
      <c r="N60" s="162"/>
      <c r="P60" s="9"/>
      <c r="Q60" s="9"/>
      <c r="R60" s="9"/>
    </row>
    <row r="61" spans="1:18" s="145" customFormat="1" ht="14.25" x14ac:dyDescent="0.2">
      <c r="A61" s="9"/>
      <c r="B61" s="9"/>
      <c r="C61" s="9"/>
      <c r="D61" s="9"/>
      <c r="E61" s="9"/>
      <c r="F61" s="121"/>
      <c r="G61" s="136"/>
      <c r="H61" s="9"/>
      <c r="I61" s="9"/>
      <c r="J61" s="9"/>
      <c r="K61" s="9"/>
      <c r="L61" s="9"/>
      <c r="M61" s="9"/>
      <c r="N61" s="162"/>
      <c r="P61" s="9"/>
      <c r="Q61" s="9"/>
      <c r="R61" s="9"/>
    </row>
    <row r="62" spans="1:18" s="145" customFormat="1" ht="14.25" x14ac:dyDescent="0.2">
      <c r="A62" s="9"/>
      <c r="B62" s="9"/>
      <c r="C62" s="9"/>
      <c r="D62" s="9"/>
      <c r="E62" s="9"/>
      <c r="F62" s="121"/>
      <c r="G62" s="136"/>
      <c r="H62" s="9"/>
      <c r="I62" s="9"/>
      <c r="J62" s="9"/>
      <c r="K62" s="9"/>
      <c r="L62" s="9"/>
      <c r="M62" s="9"/>
      <c r="N62" s="162"/>
      <c r="P62" s="9"/>
      <c r="Q62" s="9"/>
      <c r="R62" s="9"/>
    </row>
    <row r="63" spans="1:18" s="145" customFormat="1" ht="14.25" x14ac:dyDescent="0.2">
      <c r="A63" s="9"/>
      <c r="B63" s="9"/>
      <c r="C63" s="9"/>
      <c r="D63" s="9"/>
      <c r="E63" s="9"/>
      <c r="F63" s="121"/>
      <c r="G63" s="136"/>
      <c r="H63" s="9"/>
      <c r="I63" s="9"/>
      <c r="J63" s="9"/>
      <c r="K63" s="9"/>
      <c r="L63" s="9"/>
      <c r="M63" s="9"/>
      <c r="N63" s="162"/>
      <c r="P63" s="9"/>
      <c r="Q63" s="9"/>
      <c r="R63" s="9"/>
    </row>
    <row r="64" spans="1:18" s="145" customFormat="1" ht="14.25" x14ac:dyDescent="0.2">
      <c r="A64" s="9"/>
      <c r="B64" s="9"/>
      <c r="C64" s="9"/>
      <c r="D64" s="9"/>
      <c r="E64" s="9"/>
      <c r="F64" s="121"/>
      <c r="G64" s="136"/>
      <c r="H64" s="9"/>
      <c r="I64" s="9"/>
      <c r="J64" s="9"/>
      <c r="K64" s="9"/>
      <c r="L64" s="9"/>
      <c r="M64" s="9"/>
      <c r="N64" s="162"/>
      <c r="P64" s="9"/>
      <c r="Q64" s="9"/>
      <c r="R64" s="9"/>
    </row>
    <row r="65" spans="1:18" s="145" customFormat="1" ht="14.25" x14ac:dyDescent="0.2">
      <c r="A65" s="9"/>
      <c r="B65" s="9"/>
      <c r="C65" s="9"/>
      <c r="D65" s="9"/>
      <c r="E65" s="9"/>
      <c r="F65" s="121"/>
      <c r="G65" s="136"/>
      <c r="H65" s="9"/>
      <c r="I65" s="9"/>
      <c r="J65" s="9"/>
      <c r="K65" s="9"/>
      <c r="L65" s="9"/>
      <c r="M65" s="9"/>
      <c r="N65" s="162"/>
      <c r="P65" s="9"/>
      <c r="Q65" s="9"/>
      <c r="R65" s="9"/>
    </row>
    <row r="66" spans="1:18" s="145" customFormat="1" ht="14.25" x14ac:dyDescent="0.2">
      <c r="A66" s="9"/>
      <c r="B66" s="9"/>
      <c r="C66" s="9"/>
      <c r="D66" s="9"/>
      <c r="E66" s="9"/>
      <c r="F66" s="121"/>
      <c r="G66" s="136"/>
      <c r="H66" s="9"/>
      <c r="I66" s="9"/>
      <c r="J66" s="9"/>
      <c r="K66" s="9"/>
      <c r="L66" s="9"/>
      <c r="M66" s="9"/>
      <c r="N66" s="162"/>
      <c r="P66" s="9"/>
      <c r="Q66" s="9"/>
      <c r="R66" s="9"/>
    </row>
    <row r="67" spans="1:18" s="145" customFormat="1" ht="14.25" x14ac:dyDescent="0.2">
      <c r="A67" s="9"/>
      <c r="B67" s="9"/>
      <c r="C67" s="9"/>
      <c r="D67" s="9"/>
      <c r="E67" s="9"/>
      <c r="F67" s="121"/>
      <c r="G67" s="136"/>
      <c r="H67" s="9"/>
      <c r="I67" s="9"/>
      <c r="J67" s="9"/>
      <c r="K67" s="9"/>
      <c r="L67" s="9"/>
      <c r="M67" s="9"/>
      <c r="N67" s="162"/>
      <c r="P67" s="9"/>
      <c r="Q67" s="9"/>
      <c r="R67" s="9"/>
    </row>
    <row r="68" spans="1:18" s="145" customFormat="1" ht="14.25" x14ac:dyDescent="0.2">
      <c r="A68" s="9"/>
      <c r="B68" s="9"/>
      <c r="C68" s="9"/>
      <c r="D68" s="9"/>
      <c r="E68" s="9"/>
      <c r="F68" s="121"/>
      <c r="G68" s="136"/>
      <c r="H68" s="9"/>
      <c r="I68" s="9"/>
      <c r="J68" s="9"/>
      <c r="K68" s="9"/>
      <c r="L68" s="9"/>
      <c r="M68" s="9"/>
      <c r="N68" s="162"/>
      <c r="P68" s="9"/>
      <c r="Q68" s="9"/>
      <c r="R68" s="9"/>
    </row>
    <row r="69" spans="1:18" s="145" customFormat="1" ht="14.25" x14ac:dyDescent="0.2">
      <c r="A69" s="9"/>
      <c r="B69" s="9"/>
      <c r="C69" s="9"/>
      <c r="D69" s="9"/>
      <c r="E69" s="9"/>
      <c r="F69" s="121"/>
      <c r="G69" s="136"/>
      <c r="H69" s="9"/>
      <c r="I69" s="9"/>
      <c r="J69" s="9"/>
      <c r="K69" s="9"/>
      <c r="L69" s="9"/>
      <c r="M69" s="9"/>
      <c r="N69" s="162"/>
      <c r="P69" s="9"/>
      <c r="Q69" s="9"/>
      <c r="R69" s="9"/>
    </row>
    <row r="70" spans="1:18" s="145" customFormat="1" ht="14.25" x14ac:dyDescent="0.2">
      <c r="A70" s="9"/>
      <c r="B70" s="9"/>
      <c r="C70" s="9"/>
      <c r="D70" s="9"/>
      <c r="E70" s="9"/>
      <c r="F70" s="121"/>
      <c r="G70" s="136"/>
      <c r="H70" s="9"/>
      <c r="I70" s="9"/>
      <c r="J70" s="9"/>
      <c r="K70" s="9"/>
      <c r="L70" s="9"/>
      <c r="M70" s="9"/>
      <c r="N70" s="162"/>
      <c r="P70" s="9"/>
      <c r="Q70" s="9"/>
      <c r="R70" s="9"/>
    </row>
    <row r="71" spans="1:18" s="145" customFormat="1" ht="14.25" x14ac:dyDescent="0.2">
      <c r="A71" s="9"/>
      <c r="B71" s="9"/>
      <c r="C71" s="9"/>
      <c r="D71" s="9"/>
      <c r="E71" s="9"/>
      <c r="F71" s="121"/>
      <c r="G71" s="136"/>
      <c r="H71" s="9"/>
      <c r="I71" s="9"/>
      <c r="J71" s="9"/>
      <c r="K71" s="9"/>
      <c r="L71" s="9"/>
      <c r="M71" s="9"/>
      <c r="N71" s="162"/>
      <c r="P71" s="9"/>
      <c r="Q71" s="9"/>
      <c r="R71" s="9"/>
    </row>
    <row r="72" spans="1:18" s="145" customFormat="1" ht="14.25" x14ac:dyDescent="0.2">
      <c r="A72" s="9"/>
      <c r="B72" s="9"/>
      <c r="C72" s="9"/>
      <c r="D72" s="9"/>
      <c r="E72" s="9"/>
      <c r="F72" s="121"/>
      <c r="G72" s="121"/>
      <c r="H72" s="9"/>
      <c r="I72" s="9"/>
      <c r="J72" s="9"/>
      <c r="K72" s="9"/>
      <c r="L72" s="9"/>
      <c r="M72" s="9"/>
      <c r="N72" s="162"/>
      <c r="P72" s="9"/>
      <c r="Q72" s="9"/>
      <c r="R72" s="9"/>
    </row>
    <row r="73" spans="1:18" s="145" customFormat="1" ht="14.25" x14ac:dyDescent="0.2">
      <c r="A73" s="9"/>
      <c r="B73" s="9"/>
      <c r="C73" s="9"/>
      <c r="D73" s="9"/>
      <c r="E73" s="9"/>
      <c r="F73" s="121"/>
      <c r="G73" s="121"/>
      <c r="H73" s="9"/>
      <c r="I73" s="9"/>
      <c r="J73" s="9"/>
      <c r="K73" s="9"/>
      <c r="L73" s="9"/>
      <c r="M73" s="9"/>
      <c r="N73" s="162"/>
      <c r="P73" s="9"/>
      <c r="Q73" s="9"/>
      <c r="R73" s="9"/>
    </row>
    <row r="74" spans="1:18" s="145" customFormat="1" ht="14.25" x14ac:dyDescent="0.2">
      <c r="A74" s="9"/>
      <c r="B74" s="9"/>
      <c r="C74" s="9"/>
      <c r="D74" s="9"/>
      <c r="E74" s="9"/>
      <c r="F74" s="121"/>
      <c r="G74" s="121"/>
      <c r="H74" s="9"/>
      <c r="I74" s="9"/>
      <c r="J74" s="9"/>
      <c r="K74" s="9"/>
      <c r="L74" s="9"/>
      <c r="M74" s="9"/>
      <c r="N74" s="162"/>
      <c r="P74" s="9"/>
      <c r="Q74" s="9"/>
      <c r="R74" s="9"/>
    </row>
    <row r="75" spans="1:18" s="145" customFormat="1" ht="14.25" x14ac:dyDescent="0.2">
      <c r="A75" s="9"/>
      <c r="B75" s="9"/>
      <c r="C75" s="9"/>
      <c r="D75" s="9"/>
      <c r="E75" s="9"/>
      <c r="F75" s="121"/>
      <c r="G75" s="121"/>
      <c r="H75" s="9"/>
      <c r="I75" s="9"/>
      <c r="J75" s="9"/>
      <c r="K75" s="9"/>
      <c r="L75" s="9"/>
      <c r="M75" s="9"/>
      <c r="N75" s="162"/>
      <c r="P75" s="9"/>
      <c r="Q75" s="9"/>
      <c r="R75" s="9"/>
    </row>
    <row r="76" spans="1:18" s="145" customFormat="1" ht="14.25" x14ac:dyDescent="0.2">
      <c r="A76" s="9"/>
      <c r="B76" s="9"/>
      <c r="C76" s="9"/>
      <c r="D76" s="9"/>
      <c r="E76" s="9"/>
      <c r="F76" s="121"/>
      <c r="G76" s="121"/>
      <c r="H76" s="9"/>
      <c r="I76" s="9"/>
      <c r="J76" s="9"/>
      <c r="K76" s="9"/>
      <c r="L76" s="9"/>
      <c r="M76" s="9"/>
      <c r="N76" s="162"/>
      <c r="P76" s="9"/>
      <c r="Q76" s="9"/>
      <c r="R76" s="9"/>
    </row>
    <row r="77" spans="1:18" s="145" customFormat="1" ht="14.25" x14ac:dyDescent="0.2">
      <c r="A77" s="9"/>
      <c r="B77" s="9"/>
      <c r="C77" s="9"/>
      <c r="D77" s="9"/>
      <c r="E77" s="9"/>
      <c r="F77" s="121"/>
      <c r="G77" s="121"/>
      <c r="H77" s="9"/>
      <c r="I77" s="9"/>
      <c r="J77" s="9"/>
      <c r="K77" s="9"/>
      <c r="L77" s="9"/>
      <c r="M77" s="9"/>
      <c r="N77" s="162"/>
      <c r="P77" s="9"/>
      <c r="Q77" s="9"/>
      <c r="R77" s="9"/>
    </row>
    <row r="78" spans="1:18" s="145" customFormat="1" ht="14.25" x14ac:dyDescent="0.2">
      <c r="A78" s="9"/>
      <c r="B78" s="9"/>
      <c r="C78" s="9"/>
      <c r="D78" s="9"/>
      <c r="E78" s="9"/>
      <c r="F78" s="121"/>
      <c r="G78" s="121"/>
      <c r="H78" s="9"/>
      <c r="I78" s="9"/>
      <c r="J78" s="9"/>
      <c r="K78" s="9"/>
      <c r="L78" s="9"/>
      <c r="M78" s="9"/>
      <c r="N78" s="162"/>
      <c r="P78" s="9"/>
      <c r="Q78" s="9"/>
      <c r="R78" s="9"/>
    </row>
    <row r="79" spans="1:18" s="145" customFormat="1" ht="14.25" x14ac:dyDescent="0.2">
      <c r="A79" s="9"/>
      <c r="B79" s="9"/>
      <c r="C79" s="9"/>
      <c r="D79" s="9"/>
      <c r="E79" s="9"/>
      <c r="F79" s="121"/>
      <c r="G79" s="121"/>
      <c r="H79" s="9"/>
      <c r="I79" s="9"/>
      <c r="J79" s="9"/>
      <c r="K79" s="9"/>
      <c r="L79" s="9"/>
      <c r="M79" s="9"/>
      <c r="N79" s="162"/>
      <c r="P79" s="9"/>
      <c r="Q79" s="9"/>
      <c r="R79" s="9"/>
    </row>
    <row r="80" spans="1:18" s="145" customFormat="1" ht="14.25" x14ac:dyDescent="0.2">
      <c r="A80" s="9"/>
      <c r="B80" s="9"/>
      <c r="C80" s="9"/>
      <c r="D80" s="9"/>
      <c r="E80" s="9"/>
      <c r="F80" s="121"/>
      <c r="G80" s="121"/>
      <c r="H80" s="9"/>
      <c r="I80" s="9"/>
      <c r="J80" s="9"/>
      <c r="K80" s="9"/>
      <c r="L80" s="9"/>
      <c r="M80" s="9"/>
      <c r="N80" s="162"/>
      <c r="P80" s="9"/>
      <c r="Q80" s="9"/>
      <c r="R80" s="9"/>
    </row>
    <row r="81" spans="1:18" s="145" customFormat="1" ht="14.25" x14ac:dyDescent="0.2">
      <c r="A81" s="9"/>
      <c r="B81" s="9"/>
      <c r="C81" s="9"/>
      <c r="D81" s="9"/>
      <c r="E81" s="9"/>
      <c r="F81" s="121"/>
      <c r="G81" s="121"/>
      <c r="H81" s="9"/>
      <c r="I81" s="9"/>
      <c r="J81" s="9"/>
      <c r="K81" s="9"/>
      <c r="L81" s="9"/>
      <c r="M81" s="9"/>
      <c r="N81" s="162"/>
      <c r="P81" s="9"/>
      <c r="Q81" s="9"/>
      <c r="R81" s="9"/>
    </row>
    <row r="82" spans="1:18" s="145" customFormat="1" ht="14.25" x14ac:dyDescent="0.2">
      <c r="A82" s="9"/>
      <c r="B82" s="9"/>
      <c r="C82" s="9"/>
      <c r="D82" s="9"/>
      <c r="E82" s="9"/>
      <c r="F82" s="121"/>
      <c r="G82" s="121"/>
      <c r="H82" s="9"/>
      <c r="I82" s="9"/>
      <c r="J82" s="9"/>
      <c r="K82" s="9"/>
      <c r="L82" s="9"/>
      <c r="M82" s="9"/>
      <c r="N82" s="162"/>
      <c r="P82" s="9"/>
      <c r="Q82" s="9"/>
      <c r="R82" s="9"/>
    </row>
    <row r="83" spans="1:18" s="145" customFormat="1" ht="14.25" x14ac:dyDescent="0.2">
      <c r="A83" s="9"/>
      <c r="B83" s="9"/>
      <c r="C83" s="9"/>
      <c r="D83" s="9"/>
      <c r="E83" s="9"/>
      <c r="F83" s="121"/>
      <c r="G83" s="121"/>
      <c r="H83" s="9"/>
      <c r="I83" s="9"/>
      <c r="J83" s="9"/>
      <c r="K83" s="9"/>
      <c r="L83" s="9"/>
      <c r="M83" s="9"/>
      <c r="N83" s="162"/>
      <c r="P83" s="9"/>
      <c r="Q83" s="9"/>
      <c r="R83" s="9"/>
    </row>
    <row r="84" spans="1:18" s="145" customFormat="1" ht="14.25" x14ac:dyDescent="0.2">
      <c r="A84" s="9"/>
      <c r="B84" s="9"/>
      <c r="C84" s="9"/>
      <c r="D84" s="9"/>
      <c r="E84" s="9"/>
      <c r="F84" s="121"/>
      <c r="G84" s="121"/>
      <c r="H84" s="9"/>
      <c r="I84" s="9"/>
      <c r="J84" s="9"/>
      <c r="K84" s="9"/>
      <c r="L84" s="9"/>
      <c r="M84" s="9"/>
      <c r="N84" s="162"/>
      <c r="P84" s="9"/>
      <c r="Q84" s="9"/>
      <c r="R84" s="9"/>
    </row>
    <row r="85" spans="1:18" s="145" customFormat="1" ht="14.25" x14ac:dyDescent="0.2">
      <c r="A85" s="9"/>
      <c r="B85" s="9"/>
      <c r="C85" s="9"/>
      <c r="D85" s="9"/>
      <c r="E85" s="9"/>
      <c r="F85" s="121"/>
      <c r="G85" s="121"/>
      <c r="H85" s="9"/>
      <c r="I85" s="9"/>
      <c r="J85" s="9"/>
      <c r="K85" s="9"/>
      <c r="L85" s="9"/>
      <c r="M85" s="9"/>
      <c r="N85" s="162"/>
      <c r="P85" s="9"/>
      <c r="Q85" s="9"/>
      <c r="R85" s="9"/>
    </row>
    <row r="86" spans="1:18" s="145" customFormat="1" ht="14.25" x14ac:dyDescent="0.2">
      <c r="A86" s="9"/>
      <c r="B86" s="9"/>
      <c r="C86" s="9"/>
      <c r="D86" s="9"/>
      <c r="E86" s="9"/>
      <c r="F86" s="121"/>
      <c r="G86" s="121"/>
      <c r="H86" s="9"/>
      <c r="I86" s="9"/>
      <c r="J86" s="9"/>
      <c r="K86" s="9"/>
      <c r="L86" s="9"/>
      <c r="M86" s="9"/>
      <c r="N86" s="162"/>
      <c r="P86" s="9"/>
      <c r="Q86" s="9"/>
      <c r="R86" s="9"/>
    </row>
    <row r="87" spans="1:18" s="145" customFormat="1" ht="14.25" x14ac:dyDescent="0.2">
      <c r="A87" s="9"/>
      <c r="B87" s="9"/>
      <c r="C87" s="9"/>
      <c r="D87" s="9"/>
      <c r="E87" s="9"/>
      <c r="F87" s="121"/>
      <c r="G87" s="121"/>
      <c r="H87" s="9"/>
      <c r="I87" s="9"/>
      <c r="J87" s="9"/>
      <c r="K87" s="9"/>
      <c r="L87" s="9"/>
      <c r="M87" s="9"/>
      <c r="N87" s="162"/>
      <c r="P87" s="9"/>
      <c r="Q87" s="9"/>
      <c r="R87" s="9"/>
    </row>
    <row r="88" spans="1:18" s="145" customFormat="1" ht="14.25" x14ac:dyDescent="0.2">
      <c r="A88" s="9"/>
      <c r="B88" s="9"/>
      <c r="C88" s="9"/>
      <c r="D88" s="9"/>
      <c r="E88" s="9"/>
      <c r="F88" s="121"/>
      <c r="G88" s="121"/>
      <c r="H88" s="9"/>
      <c r="I88" s="9"/>
      <c r="J88" s="9"/>
      <c r="K88" s="9"/>
      <c r="L88" s="9"/>
      <c r="M88" s="9"/>
      <c r="N88" s="162"/>
      <c r="P88" s="9"/>
      <c r="Q88" s="9"/>
      <c r="R88" s="9"/>
    </row>
    <row r="89" spans="1:18" s="145" customFormat="1" x14ac:dyDescent="0.2">
      <c r="A89" s="9"/>
      <c r="B89" s="9"/>
      <c r="C89" s="9"/>
      <c r="D89" s="9"/>
      <c r="E89" s="9"/>
      <c r="F89" s="17"/>
      <c r="G89" s="121"/>
      <c r="H89" s="9"/>
      <c r="I89" s="9"/>
      <c r="J89" s="9"/>
      <c r="K89" s="9"/>
      <c r="L89" s="9"/>
      <c r="M89" s="9"/>
      <c r="N89" s="9"/>
      <c r="P89" s="9"/>
      <c r="Q89" s="9"/>
      <c r="R89" s="9"/>
    </row>
    <row r="90" spans="1:18" s="145" customFormat="1" x14ac:dyDescent="0.2">
      <c r="A90" s="9"/>
      <c r="B90" s="9"/>
      <c r="C90" s="9"/>
      <c r="D90" s="9"/>
      <c r="E90" s="9"/>
      <c r="F90" s="17"/>
      <c r="G90" s="121"/>
      <c r="H90" s="9"/>
      <c r="I90" s="9"/>
      <c r="J90" s="9"/>
      <c r="K90" s="9"/>
      <c r="L90" s="9"/>
      <c r="M90" s="9"/>
      <c r="N90" s="9"/>
      <c r="P90" s="9"/>
      <c r="Q90" s="9"/>
      <c r="R90" s="9"/>
    </row>
    <row r="91" spans="1:18" s="145" customFormat="1" x14ac:dyDescent="0.2">
      <c r="A91" s="9"/>
      <c r="B91" s="9"/>
      <c r="C91" s="9"/>
      <c r="D91" s="9"/>
      <c r="E91" s="9"/>
      <c r="F91" s="17"/>
      <c r="G91" s="121"/>
      <c r="H91" s="9"/>
      <c r="I91" s="9"/>
      <c r="J91" s="9"/>
      <c r="K91" s="9"/>
      <c r="L91" s="9"/>
      <c r="M91" s="9"/>
      <c r="N91" s="9"/>
      <c r="P91" s="9"/>
      <c r="Q91" s="9"/>
      <c r="R91" s="9"/>
    </row>
    <row r="92" spans="1:18" s="145" customFormat="1" x14ac:dyDescent="0.2">
      <c r="A92" s="9"/>
      <c r="B92" s="9"/>
      <c r="C92" s="9"/>
      <c r="D92" s="9"/>
      <c r="E92" s="9"/>
      <c r="F92" s="17"/>
      <c r="G92" s="121"/>
      <c r="H92" s="9"/>
      <c r="I92" s="9"/>
      <c r="J92" s="9"/>
      <c r="K92" s="9"/>
      <c r="L92" s="9"/>
      <c r="M92" s="9"/>
      <c r="N92" s="9"/>
      <c r="P92" s="9"/>
      <c r="Q92" s="9"/>
      <c r="R92" s="9"/>
    </row>
    <row r="93" spans="1:18" s="145" customFormat="1" x14ac:dyDescent="0.2">
      <c r="A93" s="9"/>
      <c r="B93" s="9"/>
      <c r="C93" s="9"/>
      <c r="D93" s="9"/>
      <c r="E93" s="9"/>
      <c r="F93" s="17"/>
      <c r="G93" s="121"/>
      <c r="H93" s="9"/>
      <c r="I93" s="9"/>
      <c r="J93" s="9"/>
      <c r="K93" s="9"/>
      <c r="L93" s="9"/>
      <c r="M93" s="9"/>
      <c r="N93" s="9"/>
      <c r="P93" s="9"/>
      <c r="Q93" s="9"/>
      <c r="R93" s="9"/>
    </row>
    <row r="94" spans="1:18" x14ac:dyDescent="0.2">
      <c r="G94" s="121"/>
    </row>
  </sheetData>
  <mergeCells count="14">
    <mergeCell ref="B2:O2"/>
    <mergeCell ref="L4:N4"/>
    <mergeCell ref="O4:O5"/>
    <mergeCell ref="H3:I3"/>
    <mergeCell ref="B4:B5"/>
    <mergeCell ref="C4:C5"/>
    <mergeCell ref="D4:D5"/>
    <mergeCell ref="F4:F5"/>
    <mergeCell ref="G4:G5"/>
    <mergeCell ref="H4:H5"/>
    <mergeCell ref="I4:I5"/>
    <mergeCell ref="J4:J5"/>
    <mergeCell ref="E4:E5"/>
    <mergeCell ref="K4:K5"/>
  </mergeCells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/>
  <dimension ref="B1:R94"/>
  <sheetViews>
    <sheetView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8" ht="13.5" thickBot="1" x14ac:dyDescent="0.25"/>
    <row r="2" spans="2:18" s="63" customFormat="1" ht="20.100000000000001" customHeight="1" thickTop="1" thickBot="1" x14ac:dyDescent="0.25">
      <c r="B2" s="638" t="s">
        <v>582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8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8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8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8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8" s="2" customFormat="1" ht="12.95" customHeight="1" x14ac:dyDescent="0.25">
      <c r="B7" s="6" t="s">
        <v>583</v>
      </c>
      <c r="C7" s="7" t="s">
        <v>554</v>
      </c>
      <c r="D7" s="7" t="s">
        <v>555</v>
      </c>
      <c r="E7" s="285" t="s">
        <v>584</v>
      </c>
      <c r="F7" s="5"/>
      <c r="G7" s="5"/>
      <c r="H7" s="5"/>
      <c r="I7" s="5"/>
      <c r="J7" s="5"/>
      <c r="K7" s="5"/>
      <c r="L7" s="4"/>
      <c r="M7" s="5"/>
      <c r="N7" s="479"/>
      <c r="O7" s="531"/>
    </row>
    <row r="8" spans="2:18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1">
        <f t="shared" ref="I8:K8" si="0">SUM(I9:I11)</f>
        <v>536700</v>
      </c>
      <c r="J8" s="151">
        <f t="shared" si="0"/>
        <v>536700</v>
      </c>
      <c r="K8" s="151">
        <f t="shared" si="0"/>
        <v>251290</v>
      </c>
      <c r="L8" s="320">
        <f>SUM(L9:L11)</f>
        <v>555650</v>
      </c>
      <c r="M8" s="154">
        <f>SUM(M9:M11)</f>
        <v>0</v>
      </c>
      <c r="N8" s="480">
        <f>SUM(N9:N11)</f>
        <v>555650</v>
      </c>
      <c r="O8" s="532">
        <f t="shared" ref="O8:O29" si="1">IF(J8=0,"",N8/J8*100)</f>
        <v>103.53083659400038</v>
      </c>
    </row>
    <row r="9" spans="2:18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434330</v>
      </c>
      <c r="J9" s="152">
        <v>434330</v>
      </c>
      <c r="K9" s="152">
        <v>204855</v>
      </c>
      <c r="L9" s="250">
        <f>432200+2*800+1200</f>
        <v>435000</v>
      </c>
      <c r="M9" s="152"/>
      <c r="N9" s="481">
        <f>SUM(L9:M9)</f>
        <v>435000</v>
      </c>
      <c r="O9" s="533">
        <f t="shared" si="1"/>
        <v>100.15426058526926</v>
      </c>
    </row>
    <row r="10" spans="2:18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102370</v>
      </c>
      <c r="J10" s="152">
        <v>102370</v>
      </c>
      <c r="K10" s="152">
        <v>46435</v>
      </c>
      <c r="L10" s="250">
        <f>103450+2*1400+5600+400+21*400</f>
        <v>120650</v>
      </c>
      <c r="M10" s="152"/>
      <c r="N10" s="481">
        <f t="shared" ref="N10" si="2">SUM(L10:M10)</f>
        <v>120650</v>
      </c>
      <c r="O10" s="533">
        <f t="shared" si="1"/>
        <v>117.85679398261209</v>
      </c>
      <c r="P10" s="275"/>
    </row>
    <row r="11" spans="2:18" ht="12.95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8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1">
        <f t="shared" ref="I12:K12" si="3">I13</f>
        <v>46480</v>
      </c>
      <c r="J12" s="151">
        <f t="shared" si="3"/>
        <v>46480</v>
      </c>
      <c r="K12" s="151">
        <f t="shared" si="3"/>
        <v>22024</v>
      </c>
      <c r="L12" s="320">
        <f t="shared" ref="L12:N12" si="4">L13</f>
        <v>47890</v>
      </c>
      <c r="M12" s="154">
        <f t="shared" si="4"/>
        <v>0</v>
      </c>
      <c r="N12" s="480">
        <f t="shared" si="4"/>
        <v>47890</v>
      </c>
      <c r="O12" s="532">
        <f t="shared" si="1"/>
        <v>103.03356282271945</v>
      </c>
      <c r="Q12" s="47"/>
      <c r="R12" s="47"/>
    </row>
    <row r="13" spans="2:18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46480</v>
      </c>
      <c r="J13" s="152">
        <v>46480</v>
      </c>
      <c r="K13" s="152">
        <v>22024</v>
      </c>
      <c r="L13" s="250">
        <f>47050+2*220+400</f>
        <v>47890</v>
      </c>
      <c r="M13" s="152"/>
      <c r="N13" s="481">
        <f>SUM(L13:M13)</f>
        <v>47890</v>
      </c>
      <c r="O13" s="533">
        <f t="shared" si="1"/>
        <v>103.03356282271945</v>
      </c>
    </row>
    <row r="14" spans="2:18" ht="12.95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57"/>
      <c r="O14" s="533" t="str">
        <f t="shared" si="1"/>
        <v/>
      </c>
    </row>
    <row r="15" spans="2:18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1">
        <f t="shared" ref="I15:K15" si="5">SUM(I16:I24)</f>
        <v>442000</v>
      </c>
      <c r="J15" s="151">
        <f t="shared" si="5"/>
        <v>442000</v>
      </c>
      <c r="K15" s="151">
        <f t="shared" si="5"/>
        <v>181910</v>
      </c>
      <c r="L15" s="321">
        <f>SUM(L16:L24)</f>
        <v>442000</v>
      </c>
      <c r="M15" s="156">
        <f>SUM(M16:M24)</f>
        <v>0</v>
      </c>
      <c r="N15" s="455">
        <f>SUM(N16:N24)</f>
        <v>442000</v>
      </c>
      <c r="O15" s="532">
        <f t="shared" si="1"/>
        <v>100</v>
      </c>
    </row>
    <row r="16" spans="2:18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7000</v>
      </c>
      <c r="J16" s="152">
        <v>7000</v>
      </c>
      <c r="K16" s="152">
        <v>3920</v>
      </c>
      <c r="L16" s="250">
        <v>7000</v>
      </c>
      <c r="M16" s="152">
        <v>0</v>
      </c>
      <c r="N16" s="481">
        <f t="shared" ref="N16:N24" si="6">SUM(L16:M16)</f>
        <v>7000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80000</v>
      </c>
      <c r="J17" s="152">
        <v>80000</v>
      </c>
      <c r="K17" s="152">
        <v>27968</v>
      </c>
      <c r="L17" s="250">
        <v>80000</v>
      </c>
      <c r="M17" s="152">
        <v>0</v>
      </c>
      <c r="N17" s="481">
        <f t="shared" si="6"/>
        <v>80000</v>
      </c>
      <c r="O17" s="533">
        <f t="shared" si="1"/>
        <v>100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50000</v>
      </c>
      <c r="J18" s="152">
        <v>50000</v>
      </c>
      <c r="K18" s="152">
        <v>20537</v>
      </c>
      <c r="L18" s="250">
        <v>50000</v>
      </c>
      <c r="M18" s="152">
        <v>0</v>
      </c>
      <c r="N18" s="481">
        <f t="shared" si="6"/>
        <v>50000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105000</v>
      </c>
      <c r="J19" s="152">
        <v>105000</v>
      </c>
      <c r="K19" s="152">
        <v>46549</v>
      </c>
      <c r="L19" s="250">
        <v>105000</v>
      </c>
      <c r="M19" s="152">
        <v>0</v>
      </c>
      <c r="N19" s="481">
        <f t="shared" si="6"/>
        <v>105000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80000</v>
      </c>
      <c r="J20" s="152">
        <v>80000</v>
      </c>
      <c r="K20" s="152">
        <v>37838</v>
      </c>
      <c r="L20" s="250">
        <v>80000</v>
      </c>
      <c r="M20" s="152">
        <v>0</v>
      </c>
      <c r="N20" s="481">
        <f t="shared" si="6"/>
        <v>80000</v>
      </c>
      <c r="O20" s="533">
        <f t="shared" si="1"/>
        <v>100</v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40000</v>
      </c>
      <c r="J22" s="152">
        <v>40000</v>
      </c>
      <c r="K22" s="152">
        <v>10102</v>
      </c>
      <c r="L22" s="250">
        <v>40000</v>
      </c>
      <c r="M22" s="152">
        <v>0</v>
      </c>
      <c r="N22" s="481">
        <f t="shared" si="6"/>
        <v>40000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10000</v>
      </c>
      <c r="J23" s="152">
        <v>10000</v>
      </c>
      <c r="K23" s="152">
        <v>6091</v>
      </c>
      <c r="L23" s="250">
        <v>10000</v>
      </c>
      <c r="M23" s="152">
        <v>0</v>
      </c>
      <c r="N23" s="481">
        <f t="shared" si="6"/>
        <v>10000</v>
      </c>
      <c r="O23" s="533">
        <f t="shared" si="1"/>
        <v>100</v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70000</v>
      </c>
      <c r="J24" s="152">
        <v>70000</v>
      </c>
      <c r="K24" s="152">
        <v>28905</v>
      </c>
      <c r="L24" s="250">
        <v>70000</v>
      </c>
      <c r="M24" s="152">
        <v>0</v>
      </c>
      <c r="N24" s="481">
        <f t="shared" si="6"/>
        <v>70000</v>
      </c>
      <c r="O24" s="533">
        <f t="shared" si="1"/>
        <v>100</v>
      </c>
    </row>
    <row r="25" spans="2:15" s="1" customFormat="1" ht="12.95" customHeight="1" x14ac:dyDescent="0.2">
      <c r="B25" s="12"/>
      <c r="C25" s="8"/>
      <c r="D25" s="8"/>
      <c r="E25" s="284"/>
      <c r="F25" s="127"/>
      <c r="G25" s="143"/>
      <c r="H25" s="23"/>
      <c r="I25" s="152"/>
      <c r="J25" s="152"/>
      <c r="K25" s="152"/>
      <c r="L25" s="250"/>
      <c r="M25" s="152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1">
        <f t="shared" ref="I26:K26" si="7">SUM(I27:I28)</f>
        <v>15000</v>
      </c>
      <c r="J26" s="151">
        <f t="shared" si="7"/>
        <v>15000</v>
      </c>
      <c r="K26" s="151">
        <f t="shared" si="7"/>
        <v>8195</v>
      </c>
      <c r="L26" s="320">
        <f t="shared" ref="L26:N26" si="8">SUM(L27:L28)</f>
        <v>21000</v>
      </c>
      <c r="M26" s="154">
        <f t="shared" si="8"/>
        <v>0</v>
      </c>
      <c r="N26" s="455">
        <f t="shared" si="8"/>
        <v>21000</v>
      </c>
      <c r="O26" s="532">
        <f t="shared" si="1"/>
        <v>140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2">
        <v>0</v>
      </c>
      <c r="J27" s="152">
        <v>0</v>
      </c>
      <c r="K27" s="152">
        <v>0</v>
      </c>
      <c r="L27" s="250">
        <v>0</v>
      </c>
      <c r="M27" s="152">
        <v>0</v>
      </c>
      <c r="N27" s="481">
        <f t="shared" ref="N27:N28" si="9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2">
        <v>15000</v>
      </c>
      <c r="J28" s="152">
        <v>15000</v>
      </c>
      <c r="K28" s="152">
        <v>8195</v>
      </c>
      <c r="L28" s="250">
        <v>21000</v>
      </c>
      <c r="M28" s="152">
        <v>0</v>
      </c>
      <c r="N28" s="481">
        <f t="shared" si="9"/>
        <v>21000</v>
      </c>
      <c r="O28" s="533">
        <f t="shared" si="1"/>
        <v>140</v>
      </c>
    </row>
    <row r="29" spans="2:15" ht="12.95" customHeight="1" x14ac:dyDescent="0.25">
      <c r="B29" s="10"/>
      <c r="C29" s="11"/>
      <c r="D29" s="11"/>
      <c r="E29" s="11"/>
      <c r="F29" s="119"/>
      <c r="G29" s="134"/>
      <c r="H29" s="22"/>
      <c r="I29" s="151"/>
      <c r="J29" s="151"/>
      <c r="K29" s="151"/>
      <c r="L29" s="320"/>
      <c r="M29" s="154"/>
      <c r="N29" s="455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151">
        <v>21</v>
      </c>
      <c r="J30" s="151">
        <v>21</v>
      </c>
      <c r="K30" s="151">
        <v>21</v>
      </c>
      <c r="L30" s="320">
        <v>21</v>
      </c>
      <c r="M30" s="154"/>
      <c r="N30" s="455">
        <v>21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1040180</v>
      </c>
      <c r="J31" s="14">
        <f t="shared" si="10"/>
        <v>1040180</v>
      </c>
      <c r="K31" s="14">
        <f t="shared" si="10"/>
        <v>463419</v>
      </c>
      <c r="L31" s="259">
        <f t="shared" si="10"/>
        <v>1066540</v>
      </c>
      <c r="M31" s="14">
        <f t="shared" si="10"/>
        <v>0</v>
      </c>
      <c r="N31" s="455">
        <f t="shared" si="10"/>
        <v>1066540</v>
      </c>
      <c r="O31" s="532">
        <f>IF(J31=0,"",N31/J31*100)</f>
        <v>102.53417677709626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14">
        <f t="shared" ref="I32:J33" si="11">I31</f>
        <v>1040180</v>
      </c>
      <c r="J32" s="14">
        <f t="shared" si="11"/>
        <v>1040180</v>
      </c>
      <c r="K32" s="14">
        <f t="shared" ref="K32" si="12">K31</f>
        <v>463419</v>
      </c>
      <c r="L32" s="259">
        <f t="shared" ref="L32:N33" si="13">L31</f>
        <v>1066540</v>
      </c>
      <c r="M32" s="14">
        <f t="shared" si="13"/>
        <v>0</v>
      </c>
      <c r="N32" s="455">
        <f t="shared" si="13"/>
        <v>1066540</v>
      </c>
      <c r="O32" s="532">
        <f>IF(J32=0,"",N32/J32*100)</f>
        <v>102.53417677709626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>
        <f t="shared" si="11"/>
        <v>1040180</v>
      </c>
      <c r="J33" s="14">
        <f t="shared" si="11"/>
        <v>1040180</v>
      </c>
      <c r="K33" s="14">
        <f t="shared" ref="K33" si="14">K32</f>
        <v>463419</v>
      </c>
      <c r="L33" s="259">
        <f t="shared" si="13"/>
        <v>1066540</v>
      </c>
      <c r="M33" s="14">
        <f t="shared" si="13"/>
        <v>0</v>
      </c>
      <c r="N33" s="455">
        <f t="shared" si="13"/>
        <v>1066540</v>
      </c>
      <c r="O33" s="532">
        <f>IF(J33=0,"",N33/J33*100)</f>
        <v>102.53417677709626</v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16"/>
      <c r="J34" s="16"/>
      <c r="K34" s="16"/>
      <c r="L34" s="15"/>
      <c r="M34" s="16"/>
      <c r="N34" s="475"/>
      <c r="O34" s="534"/>
    </row>
    <row r="35" spans="2:15" ht="12.95" customHeight="1" x14ac:dyDescent="0.2">
      <c r="F35" s="121"/>
      <c r="G35" s="136"/>
      <c r="L35" s="275"/>
      <c r="N35" s="162"/>
    </row>
    <row r="36" spans="2:15" ht="12.95" customHeight="1" x14ac:dyDescent="0.2">
      <c r="F36" s="121"/>
      <c r="G36" s="136"/>
      <c r="N36" s="162"/>
    </row>
    <row r="37" spans="2:15" ht="12.95" customHeight="1" x14ac:dyDescent="0.2">
      <c r="F37" s="121"/>
      <c r="G37" s="136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7.100000000000001" customHeight="1" x14ac:dyDescent="0.2">
      <c r="F58" s="121"/>
      <c r="G58" s="136"/>
      <c r="N58" s="162"/>
    </row>
    <row r="59" spans="6:14" ht="14.25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/>
  <dimension ref="B1:Q96"/>
  <sheetViews>
    <sheetView topLeftCell="F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" width="9.140625" style="9"/>
    <col min="17" max="17" width="9.5703125" style="9" bestFit="1" customWidth="1"/>
    <col min="18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585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586</v>
      </c>
      <c r="C7" s="7" t="s">
        <v>554</v>
      </c>
      <c r="D7" s="7" t="s">
        <v>555</v>
      </c>
      <c r="E7" s="285" t="s">
        <v>587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8268840</v>
      </c>
      <c r="J8" s="154">
        <f t="shared" si="0"/>
        <v>8268840</v>
      </c>
      <c r="K8" s="154">
        <f t="shared" si="0"/>
        <v>4296968</v>
      </c>
      <c r="L8" s="320">
        <f>SUM(L9:L11)</f>
        <v>8701570</v>
      </c>
      <c r="M8" s="154">
        <f>SUM(M9:M11)</f>
        <v>0</v>
      </c>
      <c r="N8" s="480">
        <f>SUM(N9:N11)</f>
        <v>8701570</v>
      </c>
      <c r="O8" s="532">
        <f t="shared" ref="O8:O31" si="1">IF(J8=0,"",N8/J8*100)</f>
        <v>105.23326125550862</v>
      </c>
      <c r="Q8" s="46"/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6966330</v>
      </c>
      <c r="J9" s="152">
        <v>6966330</v>
      </c>
      <c r="K9" s="152">
        <v>3564620</v>
      </c>
      <c r="L9" s="250">
        <f>7124300+2*800+15000</f>
        <v>7140900</v>
      </c>
      <c r="M9" s="152">
        <v>0</v>
      </c>
      <c r="N9" s="481">
        <f>SUM(L9:M9)</f>
        <v>7140900</v>
      </c>
      <c r="O9" s="533">
        <f t="shared" si="1"/>
        <v>102.50591057271188</v>
      </c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1302510</v>
      </c>
      <c r="J10" s="152">
        <v>1302510</v>
      </c>
      <c r="K10" s="152">
        <v>732348</v>
      </c>
      <c r="L10" s="250">
        <f>1444000+22170+2*1400+2500+223*400</f>
        <v>1560670</v>
      </c>
      <c r="M10" s="152">
        <v>0</v>
      </c>
      <c r="N10" s="481">
        <f t="shared" ref="N10" si="2">SUM(L10:M10)</f>
        <v>1560670</v>
      </c>
      <c r="O10" s="533">
        <f t="shared" si="1"/>
        <v>119.8201933190532</v>
      </c>
    </row>
    <row r="11" spans="2:17" ht="12.95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>SUM(I13:I15)</f>
        <v>1060700</v>
      </c>
      <c r="J12" s="154">
        <f>SUM(J13:J15)</f>
        <v>1060700</v>
      </c>
      <c r="K12" s="154">
        <f t="shared" ref="K12" si="3">SUM(K13:K15)</f>
        <v>566821</v>
      </c>
      <c r="L12" s="320">
        <f t="shared" ref="L12:N12" si="4">SUM(L13:L15)</f>
        <v>1163440</v>
      </c>
      <c r="M12" s="154">
        <f t="shared" si="4"/>
        <v>0</v>
      </c>
      <c r="N12" s="480">
        <f t="shared" si="4"/>
        <v>1163440</v>
      </c>
      <c r="O12" s="532">
        <f t="shared" si="1"/>
        <v>109.68605637786368</v>
      </c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1050700</v>
      </c>
      <c r="J13" s="152">
        <v>1050700</v>
      </c>
      <c r="K13" s="152">
        <f>566821-9865</f>
        <v>556956</v>
      </c>
      <c r="L13" s="250">
        <f>1097000+2*220+2000</f>
        <v>1099440</v>
      </c>
      <c r="M13" s="152">
        <v>0</v>
      </c>
      <c r="N13" s="481">
        <f>SUM(L13:M13)</f>
        <v>1099440</v>
      </c>
      <c r="O13" s="533">
        <f t="shared" si="1"/>
        <v>104.63881222042448</v>
      </c>
    </row>
    <row r="14" spans="2:17" ht="12.95" customHeight="1" x14ac:dyDescent="0.2">
      <c r="B14" s="10"/>
      <c r="C14" s="11"/>
      <c r="D14" s="11"/>
      <c r="E14" s="11"/>
      <c r="F14" s="119">
        <v>612100</v>
      </c>
      <c r="G14" s="134" t="s">
        <v>396</v>
      </c>
      <c r="H14" s="296" t="s">
        <v>397</v>
      </c>
      <c r="I14" s="152">
        <v>0</v>
      </c>
      <c r="J14" s="152">
        <v>0</v>
      </c>
      <c r="K14" s="152">
        <v>0</v>
      </c>
      <c r="L14" s="250">
        <v>0</v>
      </c>
      <c r="M14" s="152">
        <v>0</v>
      </c>
      <c r="N14" s="481">
        <f>SUM(L14:M14)</f>
        <v>0</v>
      </c>
      <c r="O14" s="533" t="str">
        <f t="shared" si="1"/>
        <v/>
      </c>
    </row>
    <row r="15" spans="2:17" ht="12.95" customHeight="1" x14ac:dyDescent="0.2">
      <c r="B15" s="10"/>
      <c r="C15" s="11"/>
      <c r="D15" s="11"/>
      <c r="E15" s="11"/>
      <c r="F15" s="119">
        <v>612100</v>
      </c>
      <c r="G15" s="134" t="s">
        <v>398</v>
      </c>
      <c r="H15" s="296" t="s">
        <v>399</v>
      </c>
      <c r="I15" s="152">
        <v>10000</v>
      </c>
      <c r="J15" s="152">
        <v>10000</v>
      </c>
      <c r="K15" s="152">
        <v>9865</v>
      </c>
      <c r="L15" s="250">
        <f>10000+54000</f>
        <v>64000</v>
      </c>
      <c r="M15" s="152">
        <v>0</v>
      </c>
      <c r="N15" s="481">
        <f>SUM(L15:M15)</f>
        <v>64000</v>
      </c>
      <c r="O15" s="533">
        <f t="shared" ref="O15" si="5">IF(J15=0,"",N15/J15*100)</f>
        <v>640</v>
      </c>
    </row>
    <row r="16" spans="2:17" ht="12.95" customHeight="1" x14ac:dyDescent="0.2">
      <c r="B16" s="10"/>
      <c r="C16" s="11"/>
      <c r="D16" s="11"/>
      <c r="E16" s="11"/>
      <c r="F16" s="119"/>
      <c r="G16" s="134"/>
      <c r="H16" s="22"/>
      <c r="I16" s="152"/>
      <c r="J16" s="152"/>
      <c r="K16" s="152"/>
      <c r="L16" s="250"/>
      <c r="M16" s="152"/>
      <c r="N16" s="457"/>
      <c r="O16" s="533" t="str">
        <f t="shared" si="1"/>
        <v/>
      </c>
    </row>
    <row r="17" spans="2:15" s="1" customFormat="1" ht="12.95" customHeight="1" x14ac:dyDescent="0.25">
      <c r="B17" s="12"/>
      <c r="C17" s="8"/>
      <c r="D17" s="8"/>
      <c r="E17" s="8"/>
      <c r="F17" s="118">
        <v>613000</v>
      </c>
      <c r="G17" s="133"/>
      <c r="H17" s="23" t="s">
        <v>400</v>
      </c>
      <c r="I17" s="154">
        <f t="shared" ref="I17:K17" si="6">SUM(I18:I26)</f>
        <v>837000</v>
      </c>
      <c r="J17" s="154">
        <f t="shared" si="6"/>
        <v>837000</v>
      </c>
      <c r="K17" s="154">
        <f t="shared" si="6"/>
        <v>368988</v>
      </c>
      <c r="L17" s="320">
        <f>SUM(L18:L26)</f>
        <v>852700</v>
      </c>
      <c r="M17" s="154">
        <f>SUM(M18:M26)</f>
        <v>0</v>
      </c>
      <c r="N17" s="455">
        <f>SUM(N18:N26)</f>
        <v>852700</v>
      </c>
      <c r="O17" s="532">
        <f t="shared" si="1"/>
        <v>101.87574671445638</v>
      </c>
    </row>
    <row r="18" spans="2:15" ht="12.95" customHeight="1" x14ac:dyDescent="0.2">
      <c r="B18" s="10"/>
      <c r="C18" s="11"/>
      <c r="D18" s="11"/>
      <c r="E18" s="11"/>
      <c r="F18" s="119">
        <v>613100</v>
      </c>
      <c r="G18" s="134"/>
      <c r="H18" s="22" t="s">
        <v>401</v>
      </c>
      <c r="I18" s="152">
        <v>10000</v>
      </c>
      <c r="J18" s="152">
        <v>17500</v>
      </c>
      <c r="K18" s="152">
        <v>7293</v>
      </c>
      <c r="L18" s="250">
        <v>15000</v>
      </c>
      <c r="M18" s="152">
        <v>0</v>
      </c>
      <c r="N18" s="481">
        <f t="shared" ref="N18:N26" si="7">SUM(L18:M18)</f>
        <v>15000</v>
      </c>
      <c r="O18" s="533">
        <f t="shared" si="1"/>
        <v>85.714285714285708</v>
      </c>
    </row>
    <row r="19" spans="2:15" ht="12.95" customHeight="1" x14ac:dyDescent="0.2">
      <c r="B19" s="10"/>
      <c r="C19" s="11"/>
      <c r="D19" s="11"/>
      <c r="E19" s="11"/>
      <c r="F19" s="119">
        <v>613200</v>
      </c>
      <c r="G19" s="134"/>
      <c r="H19" s="22" t="s">
        <v>402</v>
      </c>
      <c r="I19" s="152">
        <v>82000</v>
      </c>
      <c r="J19" s="152">
        <v>82000</v>
      </c>
      <c r="K19" s="152">
        <v>35644</v>
      </c>
      <c r="L19" s="250">
        <v>82000</v>
      </c>
      <c r="M19" s="152">
        <v>0</v>
      </c>
      <c r="N19" s="481">
        <f t="shared" si="7"/>
        <v>82000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613300</v>
      </c>
      <c r="G20" s="134"/>
      <c r="H20" s="22" t="s">
        <v>403</v>
      </c>
      <c r="I20" s="152">
        <v>85000</v>
      </c>
      <c r="J20" s="152">
        <v>85000</v>
      </c>
      <c r="K20" s="152">
        <v>40948</v>
      </c>
      <c r="L20" s="250">
        <v>85000</v>
      </c>
      <c r="M20" s="152">
        <v>0</v>
      </c>
      <c r="N20" s="481">
        <f t="shared" si="7"/>
        <v>85000</v>
      </c>
      <c r="O20" s="533">
        <f t="shared" si="1"/>
        <v>100</v>
      </c>
    </row>
    <row r="21" spans="2:15" ht="12.95" customHeight="1" x14ac:dyDescent="0.2">
      <c r="B21" s="10"/>
      <c r="C21" s="11"/>
      <c r="D21" s="11"/>
      <c r="E21" s="11"/>
      <c r="F21" s="119">
        <v>613400</v>
      </c>
      <c r="G21" s="134"/>
      <c r="H21" s="22" t="s">
        <v>404</v>
      </c>
      <c r="I21" s="152">
        <v>200000</v>
      </c>
      <c r="J21" s="152">
        <v>192500</v>
      </c>
      <c r="K21" s="152">
        <v>49973</v>
      </c>
      <c r="L21" s="250">
        <v>192500</v>
      </c>
      <c r="M21" s="152">
        <v>0</v>
      </c>
      <c r="N21" s="481">
        <f t="shared" si="7"/>
        <v>192500</v>
      </c>
      <c r="O21" s="533">
        <f t="shared" si="1"/>
        <v>100</v>
      </c>
    </row>
    <row r="22" spans="2:15" ht="12.95" customHeight="1" x14ac:dyDescent="0.2">
      <c r="B22" s="10"/>
      <c r="C22" s="11"/>
      <c r="D22" s="11"/>
      <c r="E22" s="11"/>
      <c r="F22" s="119">
        <v>613500</v>
      </c>
      <c r="G22" s="134"/>
      <c r="H22" s="22" t="s">
        <v>408</v>
      </c>
      <c r="I22" s="152">
        <v>120000</v>
      </c>
      <c r="J22" s="152">
        <v>120000</v>
      </c>
      <c r="K22" s="152">
        <v>73561</v>
      </c>
      <c r="L22" s="250">
        <v>150000</v>
      </c>
      <c r="M22" s="152">
        <v>0</v>
      </c>
      <c r="N22" s="481">
        <f t="shared" si="7"/>
        <v>150000</v>
      </c>
      <c r="O22" s="533">
        <f t="shared" si="1"/>
        <v>125</v>
      </c>
    </row>
    <row r="23" spans="2:15" ht="12.95" customHeight="1" x14ac:dyDescent="0.2">
      <c r="B23" s="10"/>
      <c r="C23" s="11"/>
      <c r="D23" s="11"/>
      <c r="E23" s="11"/>
      <c r="F23" s="119">
        <v>613600</v>
      </c>
      <c r="G23" s="134"/>
      <c r="H23" s="22" t="s">
        <v>409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7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613700</v>
      </c>
      <c r="G24" s="134"/>
      <c r="H24" s="22" t="s">
        <v>410</v>
      </c>
      <c r="I24" s="152">
        <v>90000</v>
      </c>
      <c r="J24" s="152">
        <v>90000</v>
      </c>
      <c r="K24" s="152">
        <v>60113</v>
      </c>
      <c r="L24" s="250">
        <v>115000</v>
      </c>
      <c r="M24" s="152">
        <v>0</v>
      </c>
      <c r="N24" s="481">
        <f t="shared" si="7"/>
        <v>115000</v>
      </c>
      <c r="O24" s="533">
        <f t="shared" si="1"/>
        <v>127.77777777777777</v>
      </c>
    </row>
    <row r="25" spans="2:15" ht="12.95" customHeight="1" x14ac:dyDescent="0.2">
      <c r="B25" s="10"/>
      <c r="C25" s="11"/>
      <c r="D25" s="11"/>
      <c r="E25" s="11"/>
      <c r="F25" s="119">
        <v>613800</v>
      </c>
      <c r="G25" s="134"/>
      <c r="H25" s="22" t="s">
        <v>414</v>
      </c>
      <c r="I25" s="152">
        <v>30000</v>
      </c>
      <c r="J25" s="152">
        <v>30000</v>
      </c>
      <c r="K25" s="152">
        <v>19384</v>
      </c>
      <c r="L25" s="250">
        <v>33200</v>
      </c>
      <c r="M25" s="152">
        <v>0</v>
      </c>
      <c r="N25" s="582">
        <f t="shared" si="7"/>
        <v>33200</v>
      </c>
      <c r="O25" s="533">
        <f t="shared" si="1"/>
        <v>110.66666666666667</v>
      </c>
    </row>
    <row r="26" spans="2:15" ht="12.95" customHeight="1" x14ac:dyDescent="0.2">
      <c r="B26" s="10"/>
      <c r="C26" s="11"/>
      <c r="D26" s="11"/>
      <c r="E26" s="11"/>
      <c r="F26" s="119">
        <v>613900</v>
      </c>
      <c r="G26" s="134"/>
      <c r="H26" s="22" t="s">
        <v>417</v>
      </c>
      <c r="I26" s="152">
        <v>220000</v>
      </c>
      <c r="J26" s="152">
        <v>220000</v>
      </c>
      <c r="K26" s="152">
        <v>82072</v>
      </c>
      <c r="L26" s="250">
        <v>180000</v>
      </c>
      <c r="M26" s="152">
        <v>0</v>
      </c>
      <c r="N26" s="481">
        <f t="shared" si="7"/>
        <v>180000</v>
      </c>
      <c r="O26" s="533">
        <f t="shared" si="1"/>
        <v>81.818181818181827</v>
      </c>
    </row>
    <row r="27" spans="2:15" s="1" customFormat="1" ht="12.95" customHeight="1" x14ac:dyDescent="0.2">
      <c r="B27" s="12"/>
      <c r="C27" s="8"/>
      <c r="D27" s="8"/>
      <c r="E27" s="284"/>
      <c r="F27" s="127"/>
      <c r="G27" s="143"/>
      <c r="H27" s="23"/>
      <c r="I27" s="152"/>
      <c r="J27" s="152"/>
      <c r="K27" s="152"/>
      <c r="L27" s="250"/>
      <c r="M27" s="152"/>
      <c r="N27" s="457"/>
      <c r="O27" s="533" t="str">
        <f t="shared" si="1"/>
        <v/>
      </c>
    </row>
    <row r="28" spans="2:15" s="1" customFormat="1" ht="12.95" customHeight="1" x14ac:dyDescent="0.25">
      <c r="B28" s="12"/>
      <c r="C28" s="8"/>
      <c r="D28" s="8"/>
      <c r="E28" s="8"/>
      <c r="F28" s="118">
        <v>821000</v>
      </c>
      <c r="G28" s="133"/>
      <c r="H28" s="23" t="s">
        <v>526</v>
      </c>
      <c r="I28" s="154">
        <f t="shared" ref="I28:K28" si="8">SUM(I29:I30)</f>
        <v>230000</v>
      </c>
      <c r="J28" s="154">
        <f t="shared" si="8"/>
        <v>230000</v>
      </c>
      <c r="K28" s="154">
        <f t="shared" si="8"/>
        <v>151311</v>
      </c>
      <c r="L28" s="320">
        <f t="shared" ref="L28:N28" si="9">SUM(L29:L30)</f>
        <v>210000</v>
      </c>
      <c r="M28" s="154">
        <f t="shared" si="9"/>
        <v>0</v>
      </c>
      <c r="N28" s="455">
        <f t="shared" si="9"/>
        <v>210000</v>
      </c>
      <c r="O28" s="532">
        <f t="shared" si="1"/>
        <v>91.304347826086953</v>
      </c>
    </row>
    <row r="29" spans="2:15" ht="12.95" customHeight="1" x14ac:dyDescent="0.2">
      <c r="B29" s="10"/>
      <c r="C29" s="11"/>
      <c r="D29" s="11"/>
      <c r="E29" s="11"/>
      <c r="F29" s="119">
        <v>821200</v>
      </c>
      <c r="G29" s="134"/>
      <c r="H29" s="22" t="s">
        <v>528</v>
      </c>
      <c r="I29" s="152">
        <v>30000</v>
      </c>
      <c r="J29" s="152">
        <v>30000</v>
      </c>
      <c r="K29" s="152">
        <v>0</v>
      </c>
      <c r="L29" s="250">
        <v>10000</v>
      </c>
      <c r="M29" s="152">
        <v>0</v>
      </c>
      <c r="N29" s="481">
        <f t="shared" ref="N29:N30" si="10">SUM(L29:M29)</f>
        <v>10000</v>
      </c>
      <c r="O29" s="533">
        <f t="shared" si="1"/>
        <v>33.333333333333329</v>
      </c>
    </row>
    <row r="30" spans="2:15" ht="12.95" customHeight="1" x14ac:dyDescent="0.2">
      <c r="B30" s="10"/>
      <c r="C30" s="11"/>
      <c r="D30" s="11"/>
      <c r="E30" s="11"/>
      <c r="F30" s="119">
        <v>821300</v>
      </c>
      <c r="G30" s="134"/>
      <c r="H30" s="22" t="s">
        <v>529</v>
      </c>
      <c r="I30" s="152">
        <v>200000</v>
      </c>
      <c r="J30" s="152">
        <v>200000</v>
      </c>
      <c r="K30" s="152">
        <v>151311</v>
      </c>
      <c r="L30" s="250">
        <v>200000</v>
      </c>
      <c r="M30" s="152">
        <v>0</v>
      </c>
      <c r="N30" s="481">
        <f t="shared" si="10"/>
        <v>200000</v>
      </c>
      <c r="O30" s="533">
        <f t="shared" si="1"/>
        <v>100</v>
      </c>
    </row>
    <row r="31" spans="2:15" ht="12.95" customHeight="1" x14ac:dyDescent="0.25">
      <c r="B31" s="10"/>
      <c r="C31" s="11"/>
      <c r="D31" s="11"/>
      <c r="E31" s="11"/>
      <c r="F31" s="119"/>
      <c r="G31" s="134"/>
      <c r="H31" s="22"/>
      <c r="I31" s="154"/>
      <c r="J31" s="154"/>
      <c r="K31" s="154"/>
      <c r="L31" s="320"/>
      <c r="M31" s="154"/>
      <c r="N31" s="455"/>
      <c r="O31" s="533" t="str">
        <f t="shared" si="1"/>
        <v/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23" t="s">
        <v>540</v>
      </c>
      <c r="I32" s="266" t="s">
        <v>588</v>
      </c>
      <c r="J32" s="266" t="s">
        <v>588</v>
      </c>
      <c r="K32" s="266" t="s">
        <v>589</v>
      </c>
      <c r="L32" s="322" t="s">
        <v>590</v>
      </c>
      <c r="M32" s="266"/>
      <c r="N32" s="450" t="s">
        <v>590</v>
      </c>
      <c r="O32" s="533"/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557</v>
      </c>
      <c r="I33" s="256">
        <f t="shared" ref="I33:N33" si="11">I8+I12+I17+I28</f>
        <v>10396540</v>
      </c>
      <c r="J33" s="14">
        <f t="shared" si="11"/>
        <v>10396540</v>
      </c>
      <c r="K33" s="14">
        <f t="shared" si="11"/>
        <v>5384088</v>
      </c>
      <c r="L33" s="259">
        <f t="shared" si="11"/>
        <v>10927710</v>
      </c>
      <c r="M33" s="14">
        <f t="shared" si="11"/>
        <v>0</v>
      </c>
      <c r="N33" s="455">
        <f t="shared" si="11"/>
        <v>10927710</v>
      </c>
      <c r="O33" s="532">
        <f>IF(J33=0,"",N33/J33*100)</f>
        <v>105.10910360562265</v>
      </c>
    </row>
    <row r="34" spans="2:15" s="1" customFormat="1" ht="12.95" customHeight="1" x14ac:dyDescent="0.25">
      <c r="B34" s="12"/>
      <c r="C34" s="8"/>
      <c r="D34" s="8"/>
      <c r="E34" s="8"/>
      <c r="F34" s="118"/>
      <c r="G34" s="133"/>
      <c r="H34" s="8" t="s">
        <v>558</v>
      </c>
      <c r="I34" s="256">
        <f t="shared" ref="I34:J35" si="12">I33</f>
        <v>10396540</v>
      </c>
      <c r="J34" s="14">
        <f t="shared" si="12"/>
        <v>10396540</v>
      </c>
      <c r="K34" s="14">
        <f t="shared" ref="K34" si="13">K33</f>
        <v>5384088</v>
      </c>
      <c r="L34" s="259">
        <f t="shared" ref="L34:N35" si="14">L33</f>
        <v>10927710</v>
      </c>
      <c r="M34" s="14">
        <f t="shared" si="14"/>
        <v>0</v>
      </c>
      <c r="N34" s="455">
        <f t="shared" si="14"/>
        <v>10927710</v>
      </c>
      <c r="O34" s="532">
        <f>IF(J34=0,"",N34/J34*100)</f>
        <v>105.10910360562265</v>
      </c>
    </row>
    <row r="35" spans="2:15" s="1" customFormat="1" ht="12.95" customHeight="1" x14ac:dyDescent="0.25">
      <c r="B35" s="12"/>
      <c r="C35" s="8"/>
      <c r="D35" s="8"/>
      <c r="E35" s="8"/>
      <c r="F35" s="118"/>
      <c r="G35" s="133"/>
      <c r="H35" s="8" t="s">
        <v>559</v>
      </c>
      <c r="I35" s="14">
        <f t="shared" si="12"/>
        <v>10396540</v>
      </c>
      <c r="J35" s="14">
        <f t="shared" si="12"/>
        <v>10396540</v>
      </c>
      <c r="K35" s="14">
        <f t="shared" ref="K35" si="15">K34</f>
        <v>5384088</v>
      </c>
      <c r="L35" s="259">
        <f t="shared" si="14"/>
        <v>10927710</v>
      </c>
      <c r="M35" s="14">
        <f t="shared" si="14"/>
        <v>0</v>
      </c>
      <c r="N35" s="455">
        <f t="shared" si="14"/>
        <v>10927710</v>
      </c>
      <c r="O35" s="532">
        <f>IF(J35=0,"",N35/J35*100)</f>
        <v>105.10910360562265</v>
      </c>
    </row>
    <row r="36" spans="2:15" ht="12.95" customHeight="1" thickBot="1" x14ac:dyDescent="0.25">
      <c r="B36" s="15"/>
      <c r="C36" s="16"/>
      <c r="D36" s="16"/>
      <c r="E36" s="16"/>
      <c r="F36" s="120"/>
      <c r="G36" s="135"/>
      <c r="H36" s="16"/>
      <c r="I36" s="16"/>
      <c r="J36" s="16"/>
      <c r="K36" s="16"/>
      <c r="L36" s="15"/>
      <c r="M36" s="16"/>
      <c r="N36" s="475"/>
      <c r="O36" s="534"/>
    </row>
    <row r="37" spans="2:15" ht="12.95" customHeight="1" x14ac:dyDescent="0.2">
      <c r="F37" s="121"/>
      <c r="G37" s="136"/>
      <c r="L37" s="500"/>
      <c r="N37" s="162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2.95" customHeight="1" x14ac:dyDescent="0.2">
      <c r="F58" s="121"/>
      <c r="G58" s="136"/>
      <c r="N58" s="162"/>
    </row>
    <row r="59" spans="6:14" ht="12.95" customHeight="1" x14ac:dyDescent="0.2">
      <c r="F59" s="121"/>
      <c r="G59" s="136"/>
      <c r="N59" s="162"/>
    </row>
    <row r="60" spans="6:14" ht="17.100000000000001" customHeight="1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36"/>
      <c r="N72" s="162"/>
    </row>
    <row r="73" spans="6:14" ht="14.25" x14ac:dyDescent="0.2">
      <c r="F73" s="121"/>
      <c r="G73" s="136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ht="14.25" x14ac:dyDescent="0.2">
      <c r="F89" s="121"/>
      <c r="G89" s="121"/>
      <c r="N89" s="162"/>
    </row>
    <row r="90" spans="6:14" ht="14.25" x14ac:dyDescent="0.2">
      <c r="F90" s="121"/>
      <c r="G90" s="121"/>
      <c r="N90" s="162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  <row r="95" spans="6:14" x14ac:dyDescent="0.2">
      <c r="G95" s="121"/>
    </row>
    <row r="96" spans="6:14" x14ac:dyDescent="0.2">
      <c r="G96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/>
  <dimension ref="B1:O96"/>
  <sheetViews>
    <sheetView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591</v>
      </c>
      <c r="C2" s="639"/>
      <c r="D2" s="639"/>
      <c r="E2" s="639"/>
      <c r="F2" s="639"/>
      <c r="G2" s="639"/>
      <c r="H2" s="639"/>
      <c r="I2" s="639"/>
      <c r="J2" s="666"/>
      <c r="K2" s="666"/>
      <c r="L2" s="666"/>
      <c r="M2" s="666"/>
      <c r="N2" s="666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592</v>
      </c>
      <c r="C7" s="7" t="s">
        <v>554</v>
      </c>
      <c r="D7" s="7" t="s">
        <v>555</v>
      </c>
      <c r="E7" s="285" t="s">
        <v>593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251690</v>
      </c>
      <c r="J8" s="154">
        <f t="shared" si="0"/>
        <v>251690</v>
      </c>
      <c r="K8" s="154">
        <f t="shared" si="0"/>
        <v>133972</v>
      </c>
      <c r="L8" s="320">
        <f>SUM(L9:L11)</f>
        <v>274060</v>
      </c>
      <c r="M8" s="154">
        <f>SUM(M9:M11)</f>
        <v>0</v>
      </c>
      <c r="N8" s="480">
        <f>SUM(N9:N11)</f>
        <v>274060</v>
      </c>
      <c r="O8" s="532">
        <f t="shared" ref="O8:O31" si="1">IF(J8=0,"",N8/J8*100)</f>
        <v>108.8879176765068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215420</v>
      </c>
      <c r="J9" s="155">
        <v>215420</v>
      </c>
      <c r="K9" s="155">
        <v>114714</v>
      </c>
      <c r="L9" s="251">
        <f>225600+700</f>
        <v>226300</v>
      </c>
      <c r="M9" s="155">
        <v>0</v>
      </c>
      <c r="N9" s="481">
        <f>SUM(L9:M9)</f>
        <v>226300</v>
      </c>
      <c r="O9" s="533">
        <f t="shared" si="1"/>
        <v>105.05059883019219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36270</v>
      </c>
      <c r="J10" s="155">
        <v>36270</v>
      </c>
      <c r="K10" s="155">
        <v>19258</v>
      </c>
      <c r="L10" s="251">
        <f>39210+5550+200+7*400</f>
        <v>47760</v>
      </c>
      <c r="M10" s="155">
        <v>0</v>
      </c>
      <c r="N10" s="481">
        <f t="shared" ref="N10" si="2">SUM(L10:M10)</f>
        <v>47760</v>
      </c>
      <c r="O10" s="533">
        <f t="shared" si="1"/>
        <v>131.6790736145575</v>
      </c>
    </row>
    <row r="11" spans="2:15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22650</v>
      </c>
      <c r="J12" s="154">
        <f t="shared" si="3"/>
        <v>22650</v>
      </c>
      <c r="K12" s="154">
        <f t="shared" si="3"/>
        <v>12045</v>
      </c>
      <c r="L12" s="320">
        <f t="shared" ref="L12:N12" si="4">L13</f>
        <v>23790</v>
      </c>
      <c r="M12" s="154">
        <f t="shared" si="4"/>
        <v>0</v>
      </c>
      <c r="N12" s="480">
        <f t="shared" si="4"/>
        <v>23790</v>
      </c>
      <c r="O12" s="532">
        <f t="shared" si="1"/>
        <v>105.03311258278146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22650</v>
      </c>
      <c r="J13" s="155">
        <v>22650</v>
      </c>
      <c r="K13" s="155">
        <v>12045</v>
      </c>
      <c r="L13" s="251">
        <f>23700+90</f>
        <v>23790</v>
      </c>
      <c r="M13" s="155">
        <v>0</v>
      </c>
      <c r="N13" s="481">
        <f>SUM(L13:M13)</f>
        <v>23790</v>
      </c>
      <c r="O13" s="533">
        <f t="shared" si="1"/>
        <v>105.03311258278146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SUM(I16:I26)</f>
        <v>139800</v>
      </c>
      <c r="J15" s="156">
        <f t="shared" si="5"/>
        <v>139800</v>
      </c>
      <c r="K15" s="156">
        <f t="shared" si="5"/>
        <v>88851</v>
      </c>
      <c r="L15" s="321">
        <f>SUM(L16:L26)</f>
        <v>204800</v>
      </c>
      <c r="M15" s="156">
        <f>SUM(M16:M26)</f>
        <v>0</v>
      </c>
      <c r="N15" s="455">
        <f>SUM(N16:N26)</f>
        <v>204800</v>
      </c>
      <c r="O15" s="532">
        <f t="shared" si="1"/>
        <v>146.49499284692416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3500</v>
      </c>
      <c r="J16" s="152">
        <v>3500</v>
      </c>
      <c r="K16" s="152">
        <v>1287</v>
      </c>
      <c r="L16" s="250">
        <v>3500</v>
      </c>
      <c r="M16" s="152">
        <v>0</v>
      </c>
      <c r="N16" s="481">
        <f t="shared" ref="N16:N24" si="6">SUM(L16:M16)</f>
        <v>3500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0</v>
      </c>
      <c r="J17" s="152">
        <v>0</v>
      </c>
      <c r="K17" s="152">
        <v>0</v>
      </c>
      <c r="L17" s="250">
        <v>0</v>
      </c>
      <c r="M17" s="152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2800</v>
      </c>
      <c r="J18" s="152">
        <v>2800</v>
      </c>
      <c r="K18" s="152">
        <v>1205</v>
      </c>
      <c r="L18" s="250">
        <v>2800</v>
      </c>
      <c r="M18" s="152">
        <v>0</v>
      </c>
      <c r="N18" s="481">
        <f t="shared" si="6"/>
        <v>2800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3000</v>
      </c>
      <c r="J19" s="152">
        <v>3000</v>
      </c>
      <c r="K19" s="152">
        <v>1912</v>
      </c>
      <c r="L19" s="250">
        <v>3000</v>
      </c>
      <c r="M19" s="152">
        <v>0</v>
      </c>
      <c r="N19" s="481">
        <f t="shared" si="6"/>
        <v>3000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0</v>
      </c>
      <c r="J20" s="152">
        <v>0</v>
      </c>
      <c r="K20" s="152">
        <v>0</v>
      </c>
      <c r="L20" s="250">
        <v>0</v>
      </c>
      <c r="M20" s="152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1000</v>
      </c>
      <c r="J22" s="152">
        <v>1000</v>
      </c>
      <c r="K22" s="152">
        <v>53</v>
      </c>
      <c r="L22" s="250">
        <v>1000</v>
      </c>
      <c r="M22" s="152">
        <v>0</v>
      </c>
      <c r="N22" s="481">
        <f t="shared" si="6"/>
        <v>1000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15000</v>
      </c>
      <c r="J24" s="152">
        <v>15000</v>
      </c>
      <c r="K24" s="152">
        <v>6526</v>
      </c>
      <c r="L24" s="250">
        <v>15000</v>
      </c>
      <c r="M24" s="152">
        <v>0</v>
      </c>
      <c r="N24" s="481">
        <f t="shared" si="6"/>
        <v>15000</v>
      </c>
      <c r="O24" s="533">
        <f t="shared" si="1"/>
        <v>100</v>
      </c>
    </row>
    <row r="25" spans="2:15" ht="12.95" customHeight="1" x14ac:dyDescent="0.2">
      <c r="B25" s="10"/>
      <c r="C25" s="11"/>
      <c r="D25" s="11"/>
      <c r="E25" s="11"/>
      <c r="F25" s="119">
        <v>613900</v>
      </c>
      <c r="G25" s="134" t="s">
        <v>419</v>
      </c>
      <c r="H25" s="296" t="s">
        <v>594</v>
      </c>
      <c r="I25" s="152">
        <v>44500</v>
      </c>
      <c r="J25" s="152">
        <v>44500</v>
      </c>
      <c r="K25" s="152">
        <v>19323</v>
      </c>
      <c r="L25" s="250">
        <v>44500</v>
      </c>
      <c r="M25" s="152">
        <v>0</v>
      </c>
      <c r="N25" s="582">
        <f t="shared" ref="N25:N26" si="7">SUM(L25:M25)</f>
        <v>44500</v>
      </c>
      <c r="O25" s="533">
        <f t="shared" si="1"/>
        <v>100</v>
      </c>
    </row>
    <row r="26" spans="2:15" s="299" customFormat="1" ht="12.95" customHeight="1" x14ac:dyDescent="0.2">
      <c r="B26" s="300"/>
      <c r="C26" s="271"/>
      <c r="D26" s="271"/>
      <c r="E26" s="271"/>
      <c r="F26" s="301">
        <v>613900</v>
      </c>
      <c r="G26" s="302" t="s">
        <v>421</v>
      </c>
      <c r="H26" s="254" t="s">
        <v>595</v>
      </c>
      <c r="I26" s="152">
        <v>70000</v>
      </c>
      <c r="J26" s="152">
        <v>70000</v>
      </c>
      <c r="K26" s="152">
        <v>58545</v>
      </c>
      <c r="L26" s="250">
        <v>135000</v>
      </c>
      <c r="M26" s="152">
        <v>0</v>
      </c>
      <c r="N26" s="303">
        <f t="shared" si="7"/>
        <v>135000</v>
      </c>
      <c r="O26" s="535">
        <f t="shared" si="1"/>
        <v>192.85714285714286</v>
      </c>
    </row>
    <row r="27" spans="2:15" s="1" customFormat="1" ht="12.95" customHeight="1" x14ac:dyDescent="0.2">
      <c r="B27" s="12"/>
      <c r="C27" s="8"/>
      <c r="D27" s="8"/>
      <c r="E27" s="284"/>
      <c r="F27" s="127"/>
      <c r="G27" s="143"/>
      <c r="H27" s="23"/>
      <c r="I27" s="155"/>
      <c r="J27" s="155"/>
      <c r="K27" s="155"/>
      <c r="L27" s="251"/>
      <c r="M27" s="155"/>
      <c r="N27" s="457"/>
      <c r="O27" s="533" t="str">
        <f t="shared" si="1"/>
        <v/>
      </c>
    </row>
    <row r="28" spans="2:15" s="1" customFormat="1" ht="12.95" customHeight="1" x14ac:dyDescent="0.25">
      <c r="B28" s="12"/>
      <c r="C28" s="8"/>
      <c r="D28" s="8"/>
      <c r="E28" s="8"/>
      <c r="F28" s="118">
        <v>821000</v>
      </c>
      <c r="G28" s="133"/>
      <c r="H28" s="23" t="s">
        <v>526</v>
      </c>
      <c r="I28" s="154">
        <f t="shared" ref="I28:K28" si="8">SUM(I29:I30)</f>
        <v>5000</v>
      </c>
      <c r="J28" s="154">
        <f t="shared" si="8"/>
        <v>5000</v>
      </c>
      <c r="K28" s="154">
        <f t="shared" si="8"/>
        <v>1671</v>
      </c>
      <c r="L28" s="320">
        <f t="shared" ref="L28:N28" si="9">SUM(L29:L30)</f>
        <v>5000</v>
      </c>
      <c r="M28" s="154">
        <f t="shared" si="9"/>
        <v>0</v>
      </c>
      <c r="N28" s="455">
        <f t="shared" si="9"/>
        <v>5000</v>
      </c>
      <c r="O28" s="532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>
        <v>821200</v>
      </c>
      <c r="G29" s="134"/>
      <c r="H29" s="22" t="s">
        <v>528</v>
      </c>
      <c r="I29" s="155">
        <v>0</v>
      </c>
      <c r="J29" s="155">
        <v>0</v>
      </c>
      <c r="K29" s="155">
        <v>0</v>
      </c>
      <c r="L29" s="251">
        <v>0</v>
      </c>
      <c r="M29" s="155">
        <v>0</v>
      </c>
      <c r="N29" s="481">
        <f t="shared" ref="N29:N30" si="10">SUM(L29:M29)</f>
        <v>0</v>
      </c>
      <c r="O29" s="533" t="str">
        <f t="shared" si="1"/>
        <v/>
      </c>
    </row>
    <row r="30" spans="2:15" ht="12.95" customHeight="1" x14ac:dyDescent="0.2">
      <c r="B30" s="10"/>
      <c r="C30" s="11"/>
      <c r="D30" s="11"/>
      <c r="E30" s="11"/>
      <c r="F30" s="119">
        <v>821300</v>
      </c>
      <c r="G30" s="134"/>
      <c r="H30" s="22" t="s">
        <v>529</v>
      </c>
      <c r="I30" s="155">
        <v>5000</v>
      </c>
      <c r="J30" s="155">
        <v>5000</v>
      </c>
      <c r="K30" s="155">
        <v>1671</v>
      </c>
      <c r="L30" s="251">
        <v>5000</v>
      </c>
      <c r="M30" s="155">
        <v>0</v>
      </c>
      <c r="N30" s="481">
        <f t="shared" si="10"/>
        <v>5000</v>
      </c>
      <c r="O30" s="533">
        <f t="shared" si="1"/>
        <v>100</v>
      </c>
    </row>
    <row r="31" spans="2:15" ht="12.95" customHeight="1" x14ac:dyDescent="0.2">
      <c r="B31" s="10"/>
      <c r="C31" s="11"/>
      <c r="D31" s="11"/>
      <c r="E31" s="11"/>
      <c r="F31" s="119"/>
      <c r="G31" s="134"/>
      <c r="H31" s="22"/>
      <c r="I31" s="155"/>
      <c r="J31" s="155"/>
      <c r="K31" s="155"/>
      <c r="L31" s="251"/>
      <c r="M31" s="155"/>
      <c r="N31" s="457"/>
      <c r="O31" s="533" t="str">
        <f t="shared" si="1"/>
        <v/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23" t="s">
        <v>540</v>
      </c>
      <c r="I32" s="266" t="s">
        <v>596</v>
      </c>
      <c r="J32" s="266" t="s">
        <v>596</v>
      </c>
      <c r="K32" s="266" t="s">
        <v>596</v>
      </c>
      <c r="L32" s="322">
        <v>7</v>
      </c>
      <c r="M32" s="266"/>
      <c r="N32" s="450">
        <v>7</v>
      </c>
      <c r="O32" s="533"/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23" t="s">
        <v>557</v>
      </c>
      <c r="I33" s="154">
        <f t="shared" ref="I33:N33" si="11">I8+I12+I15+I28</f>
        <v>419140</v>
      </c>
      <c r="J33" s="154">
        <f t="shared" si="11"/>
        <v>419140</v>
      </c>
      <c r="K33" s="154">
        <f t="shared" si="11"/>
        <v>236539</v>
      </c>
      <c r="L33" s="259">
        <f t="shared" si="11"/>
        <v>507650</v>
      </c>
      <c r="M33" s="14">
        <f t="shared" si="11"/>
        <v>0</v>
      </c>
      <c r="N33" s="455">
        <f t="shared" si="11"/>
        <v>507650</v>
      </c>
      <c r="O33" s="532">
        <f>IF(J33=0,"",N33/J33*100)</f>
        <v>121.1170491959727</v>
      </c>
    </row>
    <row r="34" spans="2:15" s="1" customFormat="1" ht="12.95" customHeight="1" x14ac:dyDescent="0.25">
      <c r="B34" s="12"/>
      <c r="C34" s="8"/>
      <c r="D34" s="8"/>
      <c r="E34" s="8"/>
      <c r="F34" s="118"/>
      <c r="G34" s="133"/>
      <c r="H34" s="8" t="s">
        <v>558</v>
      </c>
      <c r="I34" s="256"/>
      <c r="J34" s="14"/>
      <c r="K34" s="14"/>
      <c r="L34" s="259"/>
      <c r="M34" s="14"/>
      <c r="N34" s="455"/>
      <c r="O34" s="533" t="str">
        <f>IF(J34=0,"",N34/J34*100)</f>
        <v/>
      </c>
    </row>
    <row r="35" spans="2:15" s="1" customFormat="1" ht="12.95" customHeight="1" x14ac:dyDescent="0.2">
      <c r="B35" s="12"/>
      <c r="C35" s="8"/>
      <c r="D35" s="8"/>
      <c r="E35" s="8"/>
      <c r="F35" s="118"/>
      <c r="G35" s="133"/>
      <c r="H35" s="8" t="s">
        <v>559</v>
      </c>
      <c r="I35" s="27"/>
      <c r="J35" s="27"/>
      <c r="K35" s="27"/>
      <c r="L35" s="258"/>
      <c r="M35" s="27"/>
      <c r="N35" s="457"/>
      <c r="O35" s="533" t="str">
        <f>IF(J35=0,"",N35/J35*100)</f>
        <v/>
      </c>
    </row>
    <row r="36" spans="2:15" ht="12.95" customHeight="1" thickBot="1" x14ac:dyDescent="0.25">
      <c r="B36" s="15"/>
      <c r="C36" s="16"/>
      <c r="D36" s="16"/>
      <c r="E36" s="16"/>
      <c r="F36" s="120"/>
      <c r="G36" s="135"/>
      <c r="H36" s="16"/>
      <c r="I36" s="29"/>
      <c r="J36" s="29"/>
      <c r="K36" s="29"/>
      <c r="L36" s="260"/>
      <c r="M36" s="29"/>
      <c r="N36" s="482"/>
      <c r="O36" s="534"/>
    </row>
    <row r="37" spans="2:15" ht="12.95" customHeight="1" x14ac:dyDescent="0.2">
      <c r="F37" s="121"/>
      <c r="G37" s="136"/>
      <c r="L37" s="504"/>
      <c r="M37" s="572"/>
      <c r="N37" s="57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2.95" customHeight="1" x14ac:dyDescent="0.2">
      <c r="F58" s="121"/>
      <c r="G58" s="136"/>
      <c r="N58" s="163"/>
    </row>
    <row r="59" spans="6:14" ht="12.95" customHeight="1" x14ac:dyDescent="0.2">
      <c r="F59" s="121"/>
      <c r="G59" s="136"/>
      <c r="N59" s="163"/>
    </row>
    <row r="60" spans="6:14" ht="17.100000000000001" customHeight="1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36"/>
      <c r="N72" s="163"/>
    </row>
    <row r="73" spans="6:14" ht="14.25" x14ac:dyDescent="0.2">
      <c r="F73" s="121"/>
      <c r="G73" s="136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ht="14.25" x14ac:dyDescent="0.2">
      <c r="F89" s="121"/>
      <c r="G89" s="121"/>
      <c r="N89" s="163"/>
    </row>
    <row r="90" spans="6:14" ht="14.25" x14ac:dyDescent="0.2">
      <c r="F90" s="121"/>
      <c r="G90" s="121"/>
      <c r="N90" s="163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  <row r="95" spans="6:14" x14ac:dyDescent="0.2">
      <c r="G95" s="121"/>
    </row>
    <row r="96" spans="6:14" x14ac:dyDescent="0.2">
      <c r="G96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/>
  <dimension ref="B1:S94"/>
  <sheetViews>
    <sheetView topLeftCell="C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9" ht="13.5" thickBot="1" x14ac:dyDescent="0.25"/>
    <row r="2" spans="2:19" s="63" customFormat="1" ht="20.100000000000001" customHeight="1" thickTop="1" thickBot="1" x14ac:dyDescent="0.25">
      <c r="B2" s="638" t="s">
        <v>597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9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9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9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9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9" s="2" customFormat="1" ht="12.95" customHeight="1" x14ac:dyDescent="0.25">
      <c r="B7" s="6" t="s">
        <v>592</v>
      </c>
      <c r="C7" s="7" t="s">
        <v>598</v>
      </c>
      <c r="D7" s="7" t="s">
        <v>572</v>
      </c>
      <c r="E7" s="285" t="s">
        <v>599</v>
      </c>
      <c r="F7" s="5"/>
      <c r="G7" s="5"/>
      <c r="H7" s="5"/>
      <c r="I7" s="56"/>
      <c r="J7" s="56"/>
      <c r="K7" s="56"/>
      <c r="L7" s="268"/>
      <c r="M7" s="56"/>
      <c r="N7" s="491"/>
      <c r="O7" s="531"/>
    </row>
    <row r="8" spans="2:19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263">
        <f t="shared" ref="I8:K8" si="0">SUM(I9:I11)</f>
        <v>1527460</v>
      </c>
      <c r="J8" s="263">
        <f t="shared" si="0"/>
        <v>1527460</v>
      </c>
      <c r="K8" s="263">
        <f t="shared" si="0"/>
        <v>785521</v>
      </c>
      <c r="L8" s="320">
        <f>SUM(L9:L11)</f>
        <v>1625000</v>
      </c>
      <c r="M8" s="263">
        <f>SUM(M9:M11)</f>
        <v>0</v>
      </c>
      <c r="N8" s="480">
        <f>SUM(N9:N11)</f>
        <v>1625000</v>
      </c>
      <c r="O8" s="532">
        <f t="shared" ref="O8:O30" si="1">IF(J8=0,"",N8/J8*100)</f>
        <v>106.38576460267373</v>
      </c>
    </row>
    <row r="9" spans="2:19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1308720</v>
      </c>
      <c r="J9" s="155">
        <v>1308720</v>
      </c>
      <c r="K9" s="155">
        <v>666811</v>
      </c>
      <c r="L9" s="251">
        <f>1344900+2*5800</f>
        <v>1356500</v>
      </c>
      <c r="M9" s="153">
        <v>0</v>
      </c>
      <c r="N9" s="481">
        <f>SUM(L9:M9)</f>
        <v>1356500</v>
      </c>
      <c r="O9" s="533">
        <f t="shared" si="1"/>
        <v>103.65089553151169</v>
      </c>
    </row>
    <row r="10" spans="2:19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218740</v>
      </c>
      <c r="J10" s="155">
        <v>218740</v>
      </c>
      <c r="K10" s="155">
        <v>118710</v>
      </c>
      <c r="L10" s="251">
        <f>249700+2*300+1400+42*400</f>
        <v>268500</v>
      </c>
      <c r="M10" s="153">
        <v>0</v>
      </c>
      <c r="N10" s="481">
        <f t="shared" ref="N10" si="2">SUM(L10:M10)</f>
        <v>268500</v>
      </c>
      <c r="O10" s="533">
        <f t="shared" si="1"/>
        <v>122.74846850141721</v>
      </c>
    </row>
    <row r="11" spans="2:19" ht="12.95" customHeight="1" x14ac:dyDescent="0.2">
      <c r="B11" s="10"/>
      <c r="C11" s="11"/>
      <c r="D11" s="11"/>
      <c r="E11" s="11"/>
      <c r="F11" s="119"/>
      <c r="G11" s="134"/>
      <c r="H11" s="22"/>
      <c r="I11" s="153"/>
      <c r="J11" s="153"/>
      <c r="K11" s="153"/>
      <c r="L11" s="251"/>
      <c r="M11" s="153"/>
      <c r="N11" s="481"/>
      <c r="O11" s="533" t="str">
        <f t="shared" si="1"/>
        <v/>
      </c>
    </row>
    <row r="12" spans="2:19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263">
        <f t="shared" ref="I12:K12" si="3">I13</f>
        <v>138880</v>
      </c>
      <c r="J12" s="263">
        <f t="shared" si="3"/>
        <v>138880</v>
      </c>
      <c r="K12" s="263">
        <f t="shared" si="3"/>
        <v>70528</v>
      </c>
      <c r="L12" s="320">
        <f t="shared" ref="L12:N12" si="4">L13</f>
        <v>143400</v>
      </c>
      <c r="M12" s="263">
        <f t="shared" si="4"/>
        <v>0</v>
      </c>
      <c r="N12" s="480">
        <f t="shared" si="4"/>
        <v>143400</v>
      </c>
      <c r="O12" s="532">
        <f t="shared" si="1"/>
        <v>103.25460829493088</v>
      </c>
    </row>
    <row r="13" spans="2:19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3">
        <v>138880</v>
      </c>
      <c r="J13" s="153">
        <v>138880</v>
      </c>
      <c r="K13" s="153">
        <v>70528</v>
      </c>
      <c r="L13" s="251">
        <f>141700+2*650+400</f>
        <v>143400</v>
      </c>
      <c r="M13" s="153">
        <v>0</v>
      </c>
      <c r="N13" s="481">
        <f>SUM(L13:M13)</f>
        <v>143400</v>
      </c>
      <c r="O13" s="533">
        <f t="shared" si="1"/>
        <v>103.25460829493088</v>
      </c>
    </row>
    <row r="14" spans="2:19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  <c r="S14" s="45"/>
    </row>
    <row r="15" spans="2:19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4">
        <f t="shared" ref="I15:K15" si="5">SUM(I16:I24)</f>
        <v>292000</v>
      </c>
      <c r="J15" s="154">
        <f t="shared" si="5"/>
        <v>292000</v>
      </c>
      <c r="K15" s="154">
        <f t="shared" si="5"/>
        <v>120830</v>
      </c>
      <c r="L15" s="321">
        <f>SUM(L16:L24)</f>
        <v>281000</v>
      </c>
      <c r="M15" s="156">
        <f>SUM(M16:M24)</f>
        <v>0</v>
      </c>
      <c r="N15" s="455">
        <f>SUM(N16:N24)</f>
        <v>281000</v>
      </c>
      <c r="O15" s="532">
        <f t="shared" si="1"/>
        <v>96.232876712328761</v>
      </c>
    </row>
    <row r="16" spans="2:19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6000</v>
      </c>
      <c r="J16" s="155">
        <v>6000</v>
      </c>
      <c r="K16" s="155">
        <v>2019</v>
      </c>
      <c r="L16" s="251">
        <v>6000</v>
      </c>
      <c r="M16" s="155"/>
      <c r="N16" s="481">
        <f t="shared" ref="N16:N24" si="6">SUM(L16:M16)</f>
        <v>6000</v>
      </c>
      <c r="O16" s="533">
        <f t="shared" si="1"/>
        <v>100</v>
      </c>
    </row>
    <row r="17" spans="2:16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20000</v>
      </c>
      <c r="J17" s="155">
        <v>20000</v>
      </c>
      <c r="K17" s="155">
        <v>6511</v>
      </c>
      <c r="L17" s="251">
        <v>18000</v>
      </c>
      <c r="M17" s="155"/>
      <c r="N17" s="481">
        <f t="shared" si="6"/>
        <v>18000</v>
      </c>
      <c r="O17" s="533">
        <f t="shared" si="1"/>
        <v>90</v>
      </c>
    </row>
    <row r="18" spans="2:16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75000</v>
      </c>
      <c r="J18" s="155">
        <v>75000</v>
      </c>
      <c r="K18" s="155">
        <v>33808</v>
      </c>
      <c r="L18" s="251">
        <v>70000</v>
      </c>
      <c r="M18" s="155"/>
      <c r="N18" s="481">
        <f t="shared" si="6"/>
        <v>70000</v>
      </c>
      <c r="O18" s="533">
        <f t="shared" si="1"/>
        <v>93.333333333333329</v>
      </c>
    </row>
    <row r="19" spans="2:16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26000</v>
      </c>
      <c r="J19" s="155">
        <v>26000</v>
      </c>
      <c r="K19" s="155">
        <v>10868</v>
      </c>
      <c r="L19" s="251">
        <v>25000</v>
      </c>
      <c r="M19" s="155"/>
      <c r="N19" s="481">
        <f t="shared" si="6"/>
        <v>25000</v>
      </c>
      <c r="O19" s="533">
        <f t="shared" si="1"/>
        <v>96.15384615384616</v>
      </c>
    </row>
    <row r="20" spans="2:16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15000</v>
      </c>
      <c r="J20" s="155">
        <v>15000</v>
      </c>
      <c r="K20" s="155">
        <v>5446</v>
      </c>
      <c r="L20" s="251">
        <v>13000</v>
      </c>
      <c r="M20" s="155"/>
      <c r="N20" s="481">
        <f t="shared" si="6"/>
        <v>13000</v>
      </c>
      <c r="O20" s="533">
        <f t="shared" si="1"/>
        <v>86.666666666666671</v>
      </c>
    </row>
    <row r="21" spans="2:16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/>
      <c r="N21" s="481">
        <f t="shared" si="6"/>
        <v>0</v>
      </c>
      <c r="O21" s="533" t="str">
        <f t="shared" si="1"/>
        <v/>
      </c>
    </row>
    <row r="22" spans="2:16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15000</v>
      </c>
      <c r="J22" s="155">
        <v>15000</v>
      </c>
      <c r="K22" s="155">
        <v>4767</v>
      </c>
      <c r="L22" s="251">
        <v>15000</v>
      </c>
      <c r="M22" s="155"/>
      <c r="N22" s="481">
        <f t="shared" si="6"/>
        <v>15000</v>
      </c>
      <c r="O22" s="533">
        <f t="shared" si="1"/>
        <v>100</v>
      </c>
    </row>
    <row r="23" spans="2:16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5000</v>
      </c>
      <c r="J23" s="155">
        <v>5000</v>
      </c>
      <c r="K23" s="155">
        <v>385</v>
      </c>
      <c r="L23" s="251">
        <v>4000</v>
      </c>
      <c r="M23" s="155"/>
      <c r="N23" s="481">
        <f t="shared" si="6"/>
        <v>4000</v>
      </c>
      <c r="O23" s="533">
        <f t="shared" si="1"/>
        <v>80</v>
      </c>
    </row>
    <row r="24" spans="2:16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130000</v>
      </c>
      <c r="J24" s="155">
        <v>130000</v>
      </c>
      <c r="K24" s="155">
        <v>57026</v>
      </c>
      <c r="L24" s="251">
        <v>130000</v>
      </c>
      <c r="M24" s="155"/>
      <c r="N24" s="481">
        <f t="shared" si="6"/>
        <v>130000</v>
      </c>
      <c r="O24" s="533">
        <f t="shared" si="1"/>
        <v>100</v>
      </c>
      <c r="P24" s="275"/>
    </row>
    <row r="25" spans="2:16" s="1" customFormat="1" ht="12.95" customHeight="1" x14ac:dyDescent="0.2">
      <c r="B25" s="12"/>
      <c r="C25" s="8"/>
      <c r="D25" s="8"/>
      <c r="E25" s="284"/>
      <c r="F25" s="127"/>
      <c r="G25" s="14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6" ht="12.95" customHeight="1" x14ac:dyDescent="0.25">
      <c r="B26" s="10"/>
      <c r="C26" s="11"/>
      <c r="D26" s="11"/>
      <c r="E26" s="11"/>
      <c r="F26" s="119"/>
      <c r="G26" s="134"/>
      <c r="H26" s="22"/>
      <c r="I26" s="154"/>
      <c r="J26" s="154"/>
      <c r="K26" s="154"/>
      <c r="L26" s="320"/>
      <c r="M26" s="154"/>
      <c r="N26" s="455"/>
      <c r="O26" s="533" t="str">
        <f t="shared" si="1"/>
        <v/>
      </c>
    </row>
    <row r="27" spans="2:16" s="1" customFormat="1" ht="12.95" customHeight="1" x14ac:dyDescent="0.25">
      <c r="B27" s="12"/>
      <c r="C27" s="8"/>
      <c r="D27" s="8"/>
      <c r="E27" s="8"/>
      <c r="F27" s="118">
        <v>821000</v>
      </c>
      <c r="G27" s="133"/>
      <c r="H27" s="23" t="s">
        <v>526</v>
      </c>
      <c r="I27" s="154">
        <f t="shared" ref="I27:K27" si="7">I28+I29</f>
        <v>37000</v>
      </c>
      <c r="J27" s="154">
        <f t="shared" si="7"/>
        <v>37000</v>
      </c>
      <c r="K27" s="154">
        <f t="shared" si="7"/>
        <v>2237</v>
      </c>
      <c r="L27" s="320">
        <f t="shared" ref="L27:N27" si="8">L28+L29</f>
        <v>37000</v>
      </c>
      <c r="M27" s="154">
        <f t="shared" si="8"/>
        <v>0</v>
      </c>
      <c r="N27" s="455">
        <f t="shared" si="8"/>
        <v>37000</v>
      </c>
      <c r="O27" s="532">
        <f t="shared" si="1"/>
        <v>100</v>
      </c>
    </row>
    <row r="28" spans="2:16" ht="12.95" customHeight="1" x14ac:dyDescent="0.2">
      <c r="B28" s="10"/>
      <c r="C28" s="11"/>
      <c r="D28" s="11"/>
      <c r="E28" s="11"/>
      <c r="F28" s="119">
        <v>821200</v>
      </c>
      <c r="G28" s="134"/>
      <c r="H28" s="22" t="s">
        <v>528</v>
      </c>
      <c r="I28" s="155">
        <v>22000</v>
      </c>
      <c r="J28" s="155">
        <v>22000</v>
      </c>
      <c r="K28" s="155">
        <v>0</v>
      </c>
      <c r="L28" s="251">
        <v>22000</v>
      </c>
      <c r="M28" s="155">
        <v>0</v>
      </c>
      <c r="N28" s="481">
        <f t="shared" ref="N28:N29" si="9">SUM(L28:M28)</f>
        <v>22000</v>
      </c>
      <c r="O28" s="533">
        <f t="shared" si="1"/>
        <v>100</v>
      </c>
    </row>
    <row r="29" spans="2:16" ht="12.95" customHeight="1" x14ac:dyDescent="0.2">
      <c r="B29" s="10"/>
      <c r="C29" s="11"/>
      <c r="D29" s="11"/>
      <c r="E29" s="11"/>
      <c r="F29" s="119">
        <v>821300</v>
      </c>
      <c r="G29" s="134"/>
      <c r="H29" s="22" t="s">
        <v>529</v>
      </c>
      <c r="I29" s="155">
        <v>15000</v>
      </c>
      <c r="J29" s="155">
        <v>15000</v>
      </c>
      <c r="K29" s="155">
        <v>2237</v>
      </c>
      <c r="L29" s="251">
        <v>15000</v>
      </c>
      <c r="M29" s="155">
        <v>0</v>
      </c>
      <c r="N29" s="481">
        <f t="shared" si="9"/>
        <v>15000</v>
      </c>
      <c r="O29" s="533">
        <f t="shared" si="1"/>
        <v>100</v>
      </c>
    </row>
    <row r="30" spans="2:16" ht="12.95" customHeight="1" x14ac:dyDescent="0.2">
      <c r="B30" s="10"/>
      <c r="C30" s="11"/>
      <c r="D30" s="11"/>
      <c r="E30" s="11"/>
      <c r="F30" s="119"/>
      <c r="G30" s="134"/>
      <c r="H30" s="22"/>
      <c r="I30" s="155"/>
      <c r="J30" s="155"/>
      <c r="K30" s="155"/>
      <c r="L30" s="251"/>
      <c r="M30" s="155"/>
      <c r="N30" s="457"/>
      <c r="O30" s="533" t="str">
        <f t="shared" si="1"/>
        <v/>
      </c>
    </row>
    <row r="31" spans="2:16" s="1" customFormat="1" ht="12.95" customHeight="1" x14ac:dyDescent="0.25">
      <c r="B31" s="12"/>
      <c r="C31" s="8"/>
      <c r="D31" s="8"/>
      <c r="E31" s="8"/>
      <c r="F31" s="118"/>
      <c r="G31" s="133"/>
      <c r="H31" s="23" t="s">
        <v>540</v>
      </c>
      <c r="I31" s="266" t="s">
        <v>600</v>
      </c>
      <c r="J31" s="266" t="s">
        <v>600</v>
      </c>
      <c r="K31" s="266">
        <v>42</v>
      </c>
      <c r="L31" s="322">
        <v>42</v>
      </c>
      <c r="M31" s="266"/>
      <c r="N31" s="450">
        <v>42</v>
      </c>
      <c r="O31" s="533"/>
    </row>
    <row r="32" spans="2:16" s="1" customFormat="1" ht="12.95" customHeight="1" x14ac:dyDescent="0.25">
      <c r="B32" s="12"/>
      <c r="C32" s="8"/>
      <c r="D32" s="8"/>
      <c r="E32" s="8"/>
      <c r="F32" s="118"/>
      <c r="G32" s="133"/>
      <c r="H32" s="8" t="s">
        <v>557</v>
      </c>
      <c r="I32" s="256">
        <f t="shared" ref="I32:N32" si="10">I8+I12+I15+I27</f>
        <v>1995340</v>
      </c>
      <c r="J32" s="14">
        <f t="shared" si="10"/>
        <v>1995340</v>
      </c>
      <c r="K32" s="14">
        <f t="shared" si="10"/>
        <v>979116</v>
      </c>
      <c r="L32" s="259">
        <f t="shared" si="10"/>
        <v>2086400</v>
      </c>
      <c r="M32" s="14">
        <f t="shared" si="10"/>
        <v>0</v>
      </c>
      <c r="N32" s="455">
        <f t="shared" si="10"/>
        <v>2086400</v>
      </c>
      <c r="O32" s="532">
        <f>IF(J32=0,"",N32/J32*100)</f>
        <v>104.56363326550864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558</v>
      </c>
      <c r="I33" s="256">
        <f t="shared" ref="I33:N33" si="11">I32</f>
        <v>1995340</v>
      </c>
      <c r="J33" s="14">
        <f t="shared" si="11"/>
        <v>1995340</v>
      </c>
      <c r="K33" s="14">
        <f t="shared" ref="K33" si="12">K32</f>
        <v>979116</v>
      </c>
      <c r="L33" s="259">
        <f t="shared" si="11"/>
        <v>2086400</v>
      </c>
      <c r="M33" s="14">
        <f t="shared" si="11"/>
        <v>0</v>
      </c>
      <c r="N33" s="455">
        <f t="shared" si="11"/>
        <v>2086400</v>
      </c>
      <c r="O33" s="532">
        <f>IF(J33=0,"",N33/J33*100)</f>
        <v>104.56363326550864</v>
      </c>
    </row>
    <row r="34" spans="2:15" s="1" customFormat="1" ht="12.95" customHeight="1" x14ac:dyDescent="0.2">
      <c r="B34" s="12"/>
      <c r="C34" s="8"/>
      <c r="D34" s="8"/>
      <c r="E34" s="8"/>
      <c r="F34" s="118"/>
      <c r="G34" s="133"/>
      <c r="H34" s="8" t="s">
        <v>559</v>
      </c>
      <c r="I34" s="27"/>
      <c r="J34" s="27"/>
      <c r="K34" s="27"/>
      <c r="L34" s="258"/>
      <c r="M34" s="27"/>
      <c r="N34" s="457"/>
      <c r="O34" s="533"/>
    </row>
    <row r="35" spans="2:15" ht="12.95" customHeight="1" thickBot="1" x14ac:dyDescent="0.25">
      <c r="B35" s="15"/>
      <c r="C35" s="16"/>
      <c r="D35" s="16"/>
      <c r="E35" s="16"/>
      <c r="F35" s="120"/>
      <c r="G35" s="135"/>
      <c r="H35" s="16"/>
      <c r="I35" s="29"/>
      <c r="J35" s="29"/>
      <c r="K35" s="29"/>
      <c r="L35" s="260"/>
      <c r="M35" s="29"/>
      <c r="N35" s="482"/>
      <c r="O35" s="534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7"/>
  <dimension ref="B1:O94"/>
  <sheetViews>
    <sheetView topLeftCell="I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601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9" t="s">
        <v>377</v>
      </c>
      <c r="M5" s="270" t="s">
        <v>378</v>
      </c>
      <c r="N5" s="492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592</v>
      </c>
      <c r="C7" s="7" t="s">
        <v>602</v>
      </c>
      <c r="D7" s="7" t="s">
        <v>555</v>
      </c>
      <c r="E7" s="285" t="s">
        <v>599</v>
      </c>
      <c r="F7" s="5"/>
      <c r="G7" s="5"/>
      <c r="H7" s="5"/>
      <c r="I7" s="56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48820</v>
      </c>
      <c r="J8" s="154">
        <f t="shared" si="0"/>
        <v>48820</v>
      </c>
      <c r="K8" s="154">
        <f t="shared" si="0"/>
        <v>24518</v>
      </c>
      <c r="L8" s="320">
        <f>SUM(L9:L11)</f>
        <v>51060</v>
      </c>
      <c r="M8" s="154">
        <f>SUM(M9:M11)</f>
        <v>0</v>
      </c>
      <c r="N8" s="480">
        <f>SUM(N9:N11)</f>
        <v>51060</v>
      </c>
      <c r="O8" s="532">
        <f t="shared" ref="O8:O29" si="1">IF(J8=0,"",N8/J8*100)</f>
        <v>104.58828349037279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44240</v>
      </c>
      <c r="J9" s="155">
        <v>44240</v>
      </c>
      <c r="K9" s="155">
        <v>22113</v>
      </c>
      <c r="L9" s="251">
        <f>45510+50</f>
        <v>45560</v>
      </c>
      <c r="M9" s="155">
        <v>0</v>
      </c>
      <c r="N9" s="481">
        <f>SUM(L9:M9)</f>
        <v>45560</v>
      </c>
      <c r="O9" s="533">
        <f t="shared" si="1"/>
        <v>102.98372513562386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4580</v>
      </c>
      <c r="J10" s="155">
        <v>4580</v>
      </c>
      <c r="K10" s="155">
        <v>2405</v>
      </c>
      <c r="L10" s="251">
        <f>5050+50+400</f>
        <v>5500</v>
      </c>
      <c r="M10" s="155">
        <v>0</v>
      </c>
      <c r="N10" s="481">
        <f t="shared" ref="N10" si="2">SUM(L10:M10)</f>
        <v>5500</v>
      </c>
      <c r="O10" s="533">
        <f t="shared" si="1"/>
        <v>120.08733624454149</v>
      </c>
    </row>
    <row r="11" spans="2:15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4650</v>
      </c>
      <c r="J12" s="154">
        <f t="shared" si="3"/>
        <v>4650</v>
      </c>
      <c r="K12" s="154">
        <f t="shared" si="3"/>
        <v>2322</v>
      </c>
      <c r="L12" s="320">
        <f t="shared" ref="L12:N12" si="4">L13</f>
        <v>4830</v>
      </c>
      <c r="M12" s="154">
        <f t="shared" si="4"/>
        <v>0</v>
      </c>
      <c r="N12" s="480">
        <f t="shared" si="4"/>
        <v>4830</v>
      </c>
      <c r="O12" s="532">
        <f t="shared" si="1"/>
        <v>103.87096774193549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4650</v>
      </c>
      <c r="J13" s="155">
        <v>4650</v>
      </c>
      <c r="K13" s="155">
        <v>2322</v>
      </c>
      <c r="L13" s="251">
        <f>4810+20</f>
        <v>4830</v>
      </c>
      <c r="M13" s="155">
        <v>0</v>
      </c>
      <c r="N13" s="481">
        <f>SUM(L13:M13)</f>
        <v>4830</v>
      </c>
      <c r="O13" s="533">
        <f t="shared" si="1"/>
        <v>103.87096774193549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4">
        <f t="shared" ref="I15:K15" si="5">SUM(I16:I24)</f>
        <v>3000</v>
      </c>
      <c r="J15" s="154">
        <f t="shared" si="5"/>
        <v>3000</v>
      </c>
      <c r="K15" s="154">
        <f t="shared" si="5"/>
        <v>744</v>
      </c>
      <c r="L15" s="321">
        <f>SUM(L16:L24)</f>
        <v>3000</v>
      </c>
      <c r="M15" s="156">
        <f>SUM(M16:M24)</f>
        <v>0</v>
      </c>
      <c r="N15" s="455">
        <f>SUM(N16:N24)</f>
        <v>3000</v>
      </c>
      <c r="O15" s="533">
        <f t="shared" si="1"/>
        <v>100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500</v>
      </c>
      <c r="J16" s="155">
        <v>500</v>
      </c>
      <c r="K16" s="155">
        <v>0</v>
      </c>
      <c r="L16" s="251">
        <v>500</v>
      </c>
      <c r="M16" s="155">
        <v>0</v>
      </c>
      <c r="N16" s="481">
        <f t="shared" ref="N16:N24" si="6">SUM(L16:M16)</f>
        <v>500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0</v>
      </c>
      <c r="J17" s="155">
        <v>0</v>
      </c>
      <c r="K17" s="155">
        <v>0</v>
      </c>
      <c r="L17" s="251">
        <v>0</v>
      </c>
      <c r="M17" s="155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1000</v>
      </c>
      <c r="J18" s="155">
        <v>1000</v>
      </c>
      <c r="K18" s="155">
        <v>336</v>
      </c>
      <c r="L18" s="251">
        <v>1000</v>
      </c>
      <c r="M18" s="155">
        <v>0</v>
      </c>
      <c r="N18" s="481">
        <f t="shared" si="6"/>
        <v>1000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1000</v>
      </c>
      <c r="J19" s="155">
        <v>1000</v>
      </c>
      <c r="K19" s="155">
        <v>339</v>
      </c>
      <c r="L19" s="251">
        <v>1000</v>
      </c>
      <c r="M19" s="155">
        <v>0</v>
      </c>
      <c r="N19" s="481">
        <f t="shared" si="6"/>
        <v>1000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0</v>
      </c>
      <c r="J20" s="155">
        <v>0</v>
      </c>
      <c r="K20" s="155">
        <v>0</v>
      </c>
      <c r="L20" s="251">
        <v>0</v>
      </c>
      <c r="M20" s="155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0</v>
      </c>
      <c r="J22" s="155">
        <v>0</v>
      </c>
      <c r="K22" s="155">
        <v>0</v>
      </c>
      <c r="L22" s="251">
        <v>0</v>
      </c>
      <c r="M22" s="155">
        <v>0</v>
      </c>
      <c r="N22" s="481">
        <f t="shared" si="6"/>
        <v>0</v>
      </c>
      <c r="O22" s="533" t="str">
        <f t="shared" si="1"/>
        <v/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0</v>
      </c>
      <c r="J23" s="155">
        <v>0</v>
      </c>
      <c r="K23" s="155">
        <v>0</v>
      </c>
      <c r="L23" s="251">
        <v>0</v>
      </c>
      <c r="M23" s="155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500</v>
      </c>
      <c r="J24" s="155">
        <v>500</v>
      </c>
      <c r="K24" s="155">
        <v>69</v>
      </c>
      <c r="L24" s="251">
        <v>500</v>
      </c>
      <c r="M24" s="155">
        <v>0</v>
      </c>
      <c r="N24" s="481">
        <f t="shared" si="6"/>
        <v>500</v>
      </c>
      <c r="O24" s="533">
        <f t="shared" si="1"/>
        <v>100</v>
      </c>
    </row>
    <row r="25" spans="2:15" s="1" customFormat="1" ht="12.95" customHeight="1" x14ac:dyDescent="0.2">
      <c r="B25" s="12"/>
      <c r="C25" s="8"/>
      <c r="D25" s="8"/>
      <c r="E25" s="284"/>
      <c r="F25" s="127"/>
      <c r="G25" s="143"/>
      <c r="H25" s="23"/>
      <c r="I25" s="155"/>
      <c r="J25" s="155"/>
      <c r="K25" s="155"/>
      <c r="L25" s="251"/>
      <c r="M25" s="155"/>
      <c r="N25" s="581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1000</v>
      </c>
      <c r="J26" s="154">
        <f t="shared" si="7"/>
        <v>1000</v>
      </c>
      <c r="K26" s="154">
        <f t="shared" si="7"/>
        <v>0</v>
      </c>
      <c r="L26" s="320">
        <f t="shared" ref="L26:M26" si="8">SUM(L27:L28)</f>
        <v>1000</v>
      </c>
      <c r="M26" s="154">
        <f t="shared" si="8"/>
        <v>0</v>
      </c>
      <c r="N26" s="493">
        <f>SUM(N27:N28)</f>
        <v>1000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0</v>
      </c>
      <c r="J27" s="155">
        <v>0</v>
      </c>
      <c r="K27" s="155">
        <f t="shared" ref="K27" si="9">K28+K29</f>
        <v>0</v>
      </c>
      <c r="L27" s="251">
        <v>0</v>
      </c>
      <c r="M27" s="155">
        <v>0</v>
      </c>
      <c r="N27" s="481">
        <f t="shared" ref="N27:N28" si="10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1000</v>
      </c>
      <c r="J28" s="155">
        <v>1000</v>
      </c>
      <c r="K28" s="155">
        <v>0</v>
      </c>
      <c r="L28" s="251">
        <v>1000</v>
      </c>
      <c r="M28" s="155">
        <v>0</v>
      </c>
      <c r="N28" s="481">
        <f t="shared" si="10"/>
        <v>1000</v>
      </c>
      <c r="O28" s="533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154">
        <v>1</v>
      </c>
      <c r="J30" s="154">
        <v>1</v>
      </c>
      <c r="K30" s="154">
        <v>1</v>
      </c>
      <c r="L30" s="320">
        <v>1</v>
      </c>
      <c r="M30" s="154"/>
      <c r="N30" s="455">
        <v>1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1">I8+I12+I15+I26</f>
        <v>57470</v>
      </c>
      <c r="J31" s="14">
        <f t="shared" si="11"/>
        <v>57470</v>
      </c>
      <c r="K31" s="14">
        <f t="shared" si="11"/>
        <v>27584</v>
      </c>
      <c r="L31" s="259">
        <f t="shared" si="11"/>
        <v>59890</v>
      </c>
      <c r="M31" s="14">
        <f t="shared" si="11"/>
        <v>0</v>
      </c>
      <c r="N31" s="455">
        <f t="shared" si="11"/>
        <v>59890</v>
      </c>
      <c r="O31" s="532">
        <f>IF(J31=0,"",N31/J31*100)</f>
        <v>104.21089263963808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/>
      <c r="J32" s="14"/>
      <c r="K32" s="14"/>
      <c r="L32" s="259"/>
      <c r="M32" s="14"/>
      <c r="N32" s="455"/>
      <c r="O32" s="532"/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7"/>
      <c r="J33" s="27"/>
      <c r="K33" s="27"/>
      <c r="L33" s="258"/>
      <c r="M33" s="27"/>
      <c r="N33" s="457"/>
      <c r="O33" s="533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43"/>
  <dimension ref="B1:O94"/>
  <sheetViews>
    <sheetView topLeftCell="I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603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592</v>
      </c>
      <c r="C7" s="7" t="s">
        <v>602</v>
      </c>
      <c r="D7" s="7" t="s">
        <v>604</v>
      </c>
      <c r="E7" s="285" t="s">
        <v>599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104380</v>
      </c>
      <c r="J8" s="154">
        <f t="shared" si="0"/>
        <v>104380</v>
      </c>
      <c r="K8" s="154">
        <f t="shared" si="0"/>
        <v>52913</v>
      </c>
      <c r="L8" s="320">
        <f>SUM(L9:L11)</f>
        <v>110440</v>
      </c>
      <c r="M8" s="154">
        <f>SUM(M9:M11)</f>
        <v>0</v>
      </c>
      <c r="N8" s="480">
        <f>SUM(N9:N11)</f>
        <v>110440</v>
      </c>
      <c r="O8" s="532">
        <f t="shared" ref="O8:O29" si="1">IF(J8=0,"",N8/J8*100)</f>
        <v>105.80570990611228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90410</v>
      </c>
      <c r="J9" s="155">
        <v>90410</v>
      </c>
      <c r="K9" s="155">
        <v>45357</v>
      </c>
      <c r="L9" s="251">
        <f>93150+100</f>
        <v>93250</v>
      </c>
      <c r="M9" s="155">
        <v>0</v>
      </c>
      <c r="N9" s="481">
        <f>SUM(L9:M9)</f>
        <v>93250</v>
      </c>
      <c r="O9" s="533">
        <f t="shared" si="1"/>
        <v>103.1412454374516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13970</v>
      </c>
      <c r="J10" s="155">
        <v>13970</v>
      </c>
      <c r="K10" s="155">
        <v>7556</v>
      </c>
      <c r="L10" s="251">
        <f>15890+100+3*400</f>
        <v>17190</v>
      </c>
      <c r="M10" s="155">
        <v>0</v>
      </c>
      <c r="N10" s="481">
        <f t="shared" ref="N10" si="2">SUM(L10:M10)</f>
        <v>17190</v>
      </c>
      <c r="O10" s="533">
        <f t="shared" si="1"/>
        <v>123.04939155332858</v>
      </c>
    </row>
    <row r="11" spans="2:15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9510</v>
      </c>
      <c r="J12" s="154">
        <f t="shared" si="3"/>
        <v>9510</v>
      </c>
      <c r="K12" s="154">
        <f t="shared" si="3"/>
        <v>4762</v>
      </c>
      <c r="L12" s="320">
        <f t="shared" ref="L12:N12" si="4">L13</f>
        <v>9800</v>
      </c>
      <c r="M12" s="154">
        <f t="shared" si="4"/>
        <v>0</v>
      </c>
      <c r="N12" s="480">
        <f t="shared" si="4"/>
        <v>9800</v>
      </c>
      <c r="O12" s="532">
        <f t="shared" si="1"/>
        <v>103.04942166140904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9510</v>
      </c>
      <c r="J13" s="155">
        <v>9510</v>
      </c>
      <c r="K13" s="155">
        <v>4762</v>
      </c>
      <c r="L13" s="251">
        <f>9780+20</f>
        <v>9800</v>
      </c>
      <c r="M13" s="155">
        <v>0</v>
      </c>
      <c r="N13" s="481">
        <f>SUM(L13:M13)</f>
        <v>9800</v>
      </c>
      <c r="O13" s="533">
        <f t="shared" si="1"/>
        <v>103.04942166140904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5000</v>
      </c>
      <c r="J15" s="156">
        <f t="shared" si="5"/>
        <v>5000</v>
      </c>
      <c r="K15" s="156">
        <f t="shared" si="5"/>
        <v>463</v>
      </c>
      <c r="L15" s="321">
        <f>SUM(L16:L24)</f>
        <v>5000</v>
      </c>
      <c r="M15" s="156">
        <f>SUM(M16:M24)</f>
        <v>0</v>
      </c>
      <c r="N15" s="455">
        <f>SUM(N16:N24)</f>
        <v>5000</v>
      </c>
      <c r="O15" s="532">
        <f t="shared" si="1"/>
        <v>100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1000</v>
      </c>
      <c r="J16" s="155">
        <v>1000</v>
      </c>
      <c r="K16" s="155">
        <v>0</v>
      </c>
      <c r="L16" s="251">
        <v>1000</v>
      </c>
      <c r="M16" s="155">
        <v>0</v>
      </c>
      <c r="N16" s="481">
        <f t="shared" ref="N16:N24" si="6">SUM(L16:M16)</f>
        <v>1000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0</v>
      </c>
      <c r="J17" s="155">
        <v>0</v>
      </c>
      <c r="K17" s="155">
        <v>0</v>
      </c>
      <c r="L17" s="251">
        <v>0</v>
      </c>
      <c r="M17" s="155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1000</v>
      </c>
      <c r="J18" s="155">
        <v>1000</v>
      </c>
      <c r="K18" s="155">
        <v>302</v>
      </c>
      <c r="L18" s="251">
        <v>1000</v>
      </c>
      <c r="M18" s="155">
        <v>0</v>
      </c>
      <c r="N18" s="481">
        <f t="shared" si="6"/>
        <v>1000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1000</v>
      </c>
      <c r="J19" s="155">
        <v>1000</v>
      </c>
      <c r="K19" s="155">
        <v>16</v>
      </c>
      <c r="L19" s="251">
        <v>1000</v>
      </c>
      <c r="M19" s="155">
        <v>0</v>
      </c>
      <c r="N19" s="481">
        <f t="shared" si="6"/>
        <v>1000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0</v>
      </c>
      <c r="J20" s="155">
        <v>0</v>
      </c>
      <c r="K20" s="155">
        <v>0</v>
      </c>
      <c r="L20" s="251">
        <v>0</v>
      </c>
      <c r="M20" s="155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1000</v>
      </c>
      <c r="J22" s="155">
        <v>1000</v>
      </c>
      <c r="K22" s="155">
        <v>0</v>
      </c>
      <c r="L22" s="251">
        <v>1000</v>
      </c>
      <c r="M22" s="155">
        <v>0</v>
      </c>
      <c r="N22" s="481">
        <f t="shared" si="6"/>
        <v>1000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0</v>
      </c>
      <c r="J23" s="155">
        <v>0</v>
      </c>
      <c r="K23" s="155">
        <v>0</v>
      </c>
      <c r="L23" s="251">
        <v>0</v>
      </c>
      <c r="M23" s="155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1000</v>
      </c>
      <c r="J24" s="155">
        <v>1000</v>
      </c>
      <c r="K24" s="155">
        <v>145</v>
      </c>
      <c r="L24" s="251">
        <v>1000</v>
      </c>
      <c r="M24" s="155">
        <v>0</v>
      </c>
      <c r="N24" s="481">
        <f t="shared" si="6"/>
        <v>1000</v>
      </c>
      <c r="O24" s="533">
        <f t="shared" si="1"/>
        <v>100</v>
      </c>
    </row>
    <row r="25" spans="2:15" s="1" customFormat="1" ht="12.95" customHeight="1" x14ac:dyDescent="0.2">
      <c r="B25" s="12"/>
      <c r="C25" s="8"/>
      <c r="D25" s="8"/>
      <c r="E25" s="284"/>
      <c r="F25" s="127"/>
      <c r="G25" s="14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2000</v>
      </c>
      <c r="J26" s="154">
        <f t="shared" si="7"/>
        <v>2000</v>
      </c>
      <c r="K26" s="154">
        <f t="shared" si="7"/>
        <v>0</v>
      </c>
      <c r="L26" s="320">
        <f t="shared" ref="L26:N26" si="8">SUM(L27:L28)</f>
        <v>2000</v>
      </c>
      <c r="M26" s="154">
        <f t="shared" si="8"/>
        <v>0</v>
      </c>
      <c r="N26" s="455">
        <f t="shared" si="8"/>
        <v>2000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0</v>
      </c>
      <c r="J27" s="155">
        <v>0</v>
      </c>
      <c r="K27" s="155">
        <v>0</v>
      </c>
      <c r="L27" s="251">
        <v>0</v>
      </c>
      <c r="M27" s="155">
        <v>0</v>
      </c>
      <c r="N27" s="481">
        <f t="shared" ref="N27:N28" si="9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2000</v>
      </c>
      <c r="J28" s="155">
        <v>2000</v>
      </c>
      <c r="K28" s="155">
        <v>0</v>
      </c>
      <c r="L28" s="251">
        <v>2000</v>
      </c>
      <c r="M28" s="155">
        <v>0</v>
      </c>
      <c r="N28" s="481">
        <f t="shared" si="9"/>
        <v>2000</v>
      </c>
      <c r="O28" s="533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154">
        <v>2</v>
      </c>
      <c r="J30" s="154">
        <v>2</v>
      </c>
      <c r="K30" s="154">
        <v>3</v>
      </c>
      <c r="L30" s="320">
        <v>3</v>
      </c>
      <c r="M30" s="154"/>
      <c r="N30" s="455">
        <v>3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120890</v>
      </c>
      <c r="J31" s="14">
        <f t="shared" si="10"/>
        <v>120890</v>
      </c>
      <c r="K31" s="14">
        <f t="shared" si="10"/>
        <v>58138</v>
      </c>
      <c r="L31" s="259">
        <f t="shared" si="10"/>
        <v>127240</v>
      </c>
      <c r="M31" s="14">
        <f t="shared" si="10"/>
        <v>0</v>
      </c>
      <c r="N31" s="455">
        <f t="shared" si="10"/>
        <v>127240</v>
      </c>
      <c r="O31" s="532">
        <f>IF(J31=0,"",N31/J31*100)</f>
        <v>105.25270907436513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>
        <f>I31+'11'!I31</f>
        <v>178360</v>
      </c>
      <c r="J32" s="14">
        <f>J31+'11'!J31</f>
        <v>178360</v>
      </c>
      <c r="K32" s="14">
        <f>K31+'11'!K31</f>
        <v>85722</v>
      </c>
      <c r="L32" s="259">
        <f>L31+'11'!L31</f>
        <v>187130</v>
      </c>
      <c r="M32" s="14">
        <f>M31+'11'!M31</f>
        <v>0</v>
      </c>
      <c r="N32" s="455">
        <f>N31+'11'!N31</f>
        <v>187130</v>
      </c>
      <c r="O32" s="532">
        <f>IF(J32=0,"",N32/J32*100)</f>
        <v>104.91702175375646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/>
      <c r="J33" s="14"/>
      <c r="K33" s="14"/>
      <c r="L33" s="259"/>
      <c r="M33" s="14"/>
      <c r="N33" s="455"/>
      <c r="O33" s="532"/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45"/>
  <dimension ref="B1:O94"/>
  <sheetViews>
    <sheetView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605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592</v>
      </c>
      <c r="C7" s="7" t="s">
        <v>606</v>
      </c>
      <c r="D7" s="7" t="s">
        <v>555</v>
      </c>
      <c r="E7" s="285" t="s">
        <v>599</v>
      </c>
      <c r="F7" s="5"/>
      <c r="G7" s="5"/>
      <c r="H7" s="5"/>
      <c r="I7" s="56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106180</v>
      </c>
      <c r="J8" s="154">
        <f t="shared" si="0"/>
        <v>106180</v>
      </c>
      <c r="K8" s="154">
        <f t="shared" si="0"/>
        <v>53912</v>
      </c>
      <c r="L8" s="320">
        <f>SUM(L9:L11)</f>
        <v>112350</v>
      </c>
      <c r="M8" s="154">
        <f>SUM(M9:M11)</f>
        <v>0</v>
      </c>
      <c r="N8" s="480">
        <f>SUM(N9:N11)</f>
        <v>112350</v>
      </c>
      <c r="O8" s="532">
        <f t="shared" ref="O8:O29" si="1">IF(J8=0,"",N8/J8*100)</f>
        <v>105.81088717272556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94290</v>
      </c>
      <c r="J9" s="155">
        <v>94290</v>
      </c>
      <c r="K9" s="155">
        <v>47272</v>
      </c>
      <c r="L9" s="251">
        <f>97150+100</f>
        <v>97250</v>
      </c>
      <c r="M9" s="155">
        <v>0</v>
      </c>
      <c r="N9" s="481">
        <f>SUM(L9:M9)</f>
        <v>97250</v>
      </c>
      <c r="O9" s="533">
        <f t="shared" si="1"/>
        <v>103.13925124615548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11890</v>
      </c>
      <c r="J10" s="155">
        <v>11890</v>
      </c>
      <c r="K10" s="155">
        <v>6640</v>
      </c>
      <c r="L10" s="251">
        <f>13800+100+3*400</f>
        <v>15100</v>
      </c>
      <c r="M10" s="155">
        <v>0</v>
      </c>
      <c r="N10" s="481">
        <f t="shared" ref="N10" si="2">SUM(L10:M10)</f>
        <v>15100</v>
      </c>
      <c r="O10" s="533">
        <f t="shared" si="1"/>
        <v>126.99747687132043</v>
      </c>
    </row>
    <row r="11" spans="2:15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9900</v>
      </c>
      <c r="J12" s="154">
        <f t="shared" si="3"/>
        <v>9900</v>
      </c>
      <c r="K12" s="154">
        <f t="shared" si="3"/>
        <v>4964</v>
      </c>
      <c r="L12" s="320">
        <f t="shared" ref="L12:N12" si="4">L13</f>
        <v>10240</v>
      </c>
      <c r="M12" s="154">
        <f t="shared" si="4"/>
        <v>0</v>
      </c>
      <c r="N12" s="480">
        <f t="shared" si="4"/>
        <v>10240</v>
      </c>
      <c r="O12" s="532">
        <f t="shared" si="1"/>
        <v>103.43434343434343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9900</v>
      </c>
      <c r="J13" s="155">
        <v>9900</v>
      </c>
      <c r="K13" s="155">
        <v>4964</v>
      </c>
      <c r="L13" s="251">
        <f>10220+20</f>
        <v>10240</v>
      </c>
      <c r="M13" s="155">
        <v>0</v>
      </c>
      <c r="N13" s="481">
        <f>SUM(L13:M13)</f>
        <v>10240</v>
      </c>
      <c r="O13" s="533">
        <f t="shared" si="1"/>
        <v>103.43434343434343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4">
        <f t="shared" ref="I15:K15" si="5">SUM(I16:I24)</f>
        <v>6600</v>
      </c>
      <c r="J15" s="154">
        <f t="shared" si="5"/>
        <v>6600</v>
      </c>
      <c r="K15" s="154">
        <f t="shared" si="5"/>
        <v>1896</v>
      </c>
      <c r="L15" s="321">
        <f>SUM(L16:L24)</f>
        <v>6800</v>
      </c>
      <c r="M15" s="156">
        <f>SUM(M16:M24)</f>
        <v>0</v>
      </c>
      <c r="N15" s="455">
        <f>SUM(N16:N24)</f>
        <v>6800</v>
      </c>
      <c r="O15" s="532">
        <f t="shared" si="1"/>
        <v>103.03030303030303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1300</v>
      </c>
      <c r="J16" s="155">
        <v>1300</v>
      </c>
      <c r="K16" s="155">
        <v>744</v>
      </c>
      <c r="L16" s="251">
        <v>1500</v>
      </c>
      <c r="M16" s="155">
        <v>0</v>
      </c>
      <c r="N16" s="481">
        <f t="shared" ref="N16:N24" si="6">SUM(L16:M16)</f>
        <v>1500</v>
      </c>
      <c r="O16" s="533">
        <f t="shared" si="1"/>
        <v>115.38461538461537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0</v>
      </c>
      <c r="J17" s="155">
        <v>0</v>
      </c>
      <c r="K17" s="155">
        <v>0</v>
      </c>
      <c r="L17" s="251">
        <v>0</v>
      </c>
      <c r="M17" s="155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2000</v>
      </c>
      <c r="J18" s="155">
        <v>2000</v>
      </c>
      <c r="K18" s="155">
        <v>674</v>
      </c>
      <c r="L18" s="251">
        <v>2000</v>
      </c>
      <c r="M18" s="155">
        <v>0</v>
      </c>
      <c r="N18" s="481">
        <f t="shared" si="6"/>
        <v>2000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1000</v>
      </c>
      <c r="J19" s="155">
        <v>1000</v>
      </c>
      <c r="K19" s="155">
        <v>132</v>
      </c>
      <c r="L19" s="251">
        <v>1000</v>
      </c>
      <c r="M19" s="155">
        <v>0</v>
      </c>
      <c r="N19" s="481">
        <f t="shared" si="6"/>
        <v>1000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0</v>
      </c>
      <c r="J20" s="155">
        <v>0</v>
      </c>
      <c r="K20" s="155">
        <v>0</v>
      </c>
      <c r="L20" s="251">
        <v>0</v>
      </c>
      <c r="M20" s="155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800</v>
      </c>
      <c r="J22" s="155">
        <v>800</v>
      </c>
      <c r="K22" s="155">
        <v>76</v>
      </c>
      <c r="L22" s="251">
        <v>800</v>
      </c>
      <c r="M22" s="155">
        <v>0</v>
      </c>
      <c r="N22" s="481">
        <f t="shared" si="6"/>
        <v>800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0</v>
      </c>
      <c r="J23" s="155">
        <v>0</v>
      </c>
      <c r="K23" s="155">
        <v>0</v>
      </c>
      <c r="L23" s="251">
        <v>0</v>
      </c>
      <c r="M23" s="155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1500</v>
      </c>
      <c r="J24" s="155">
        <v>1500</v>
      </c>
      <c r="K24" s="155">
        <v>270</v>
      </c>
      <c r="L24" s="251">
        <v>1500</v>
      </c>
      <c r="M24" s="155">
        <v>0</v>
      </c>
      <c r="N24" s="481">
        <f t="shared" si="6"/>
        <v>1500</v>
      </c>
      <c r="O24" s="533">
        <f t="shared" si="1"/>
        <v>100</v>
      </c>
    </row>
    <row r="25" spans="2:15" s="1" customFormat="1" ht="12.95" customHeight="1" x14ac:dyDescent="0.2">
      <c r="B25" s="12"/>
      <c r="C25" s="8"/>
      <c r="D25" s="8"/>
      <c r="E25" s="284"/>
      <c r="F25" s="127"/>
      <c r="G25" s="14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I27+I28</f>
        <v>1000</v>
      </c>
      <c r="J26" s="154">
        <f t="shared" si="7"/>
        <v>1000</v>
      </c>
      <c r="K26" s="154">
        <f t="shared" si="7"/>
        <v>0</v>
      </c>
      <c r="L26" s="320">
        <f t="shared" ref="L26:N26" si="8">L27+L28</f>
        <v>1000</v>
      </c>
      <c r="M26" s="154">
        <f t="shared" si="8"/>
        <v>0</v>
      </c>
      <c r="N26" s="455">
        <f t="shared" si="8"/>
        <v>1000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0</v>
      </c>
      <c r="J27" s="155">
        <v>0</v>
      </c>
      <c r="K27" s="155">
        <v>0</v>
      </c>
      <c r="L27" s="251">
        <v>0</v>
      </c>
      <c r="M27" s="155">
        <v>0</v>
      </c>
      <c r="N27" s="481">
        <f t="shared" ref="N27:N28" si="9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1000</v>
      </c>
      <c r="J28" s="155">
        <v>1000</v>
      </c>
      <c r="K28" s="155">
        <v>0</v>
      </c>
      <c r="L28" s="251">
        <v>1000</v>
      </c>
      <c r="M28" s="155">
        <v>0</v>
      </c>
      <c r="N28" s="481">
        <f t="shared" si="9"/>
        <v>1000</v>
      </c>
      <c r="O28" s="533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154">
        <v>3</v>
      </c>
      <c r="J30" s="154">
        <v>3</v>
      </c>
      <c r="K30" s="154">
        <v>3</v>
      </c>
      <c r="L30" s="320">
        <v>3</v>
      </c>
      <c r="M30" s="154"/>
      <c r="N30" s="455">
        <v>3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123680</v>
      </c>
      <c r="J31" s="14">
        <f t="shared" si="10"/>
        <v>123680</v>
      </c>
      <c r="K31" s="14">
        <f t="shared" si="10"/>
        <v>60772</v>
      </c>
      <c r="L31" s="259">
        <f t="shared" si="10"/>
        <v>130390</v>
      </c>
      <c r="M31" s="14">
        <f t="shared" si="10"/>
        <v>0</v>
      </c>
      <c r="N31" s="455">
        <f t="shared" si="10"/>
        <v>130390</v>
      </c>
      <c r="O31" s="532">
        <f>IF(J31=0,"",N31/J31*100)</f>
        <v>105.42529107373868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14">
        <f t="shared" ref="I32:J32" si="11">I31</f>
        <v>123680</v>
      </c>
      <c r="J32" s="14">
        <f t="shared" si="11"/>
        <v>123680</v>
      </c>
      <c r="K32" s="14">
        <f t="shared" ref="K32" si="12">K31</f>
        <v>60772</v>
      </c>
      <c r="L32" s="259">
        <f>L31</f>
        <v>130390</v>
      </c>
      <c r="M32" s="14">
        <f>M31</f>
        <v>0</v>
      </c>
      <c r="N32" s="455">
        <f>N31</f>
        <v>130390</v>
      </c>
      <c r="O32" s="532">
        <f>IF(J32=0,"",N32/J32*100)</f>
        <v>105.42529107373868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/>
      <c r="J33" s="14"/>
      <c r="K33" s="14"/>
      <c r="L33" s="259"/>
      <c r="M33" s="14"/>
      <c r="N33" s="455"/>
      <c r="O33" s="532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U33"/>
  <sheetViews>
    <sheetView zoomScaleNormal="100" workbookViewId="0">
      <selection activeCell="N25" sqref="N25"/>
    </sheetView>
  </sheetViews>
  <sheetFormatPr defaultRowHeight="12.75" x14ac:dyDescent="0.2"/>
  <cols>
    <col min="1" max="1" width="3.28515625" style="34" customWidth="1"/>
    <col min="7" max="7" width="10.7109375" customWidth="1"/>
    <col min="8" max="8" width="0.140625" hidden="1" customWidth="1"/>
    <col min="9" max="9" width="2.7109375" hidden="1" customWidth="1"/>
    <col min="10" max="10" width="8.28515625" style="34" customWidth="1"/>
    <col min="11" max="11" width="2.42578125" customWidth="1"/>
    <col min="12" max="12" width="4.140625" customWidth="1"/>
    <col min="19" max="19" width="3.85546875" customWidth="1"/>
    <col min="20" max="20" width="2.5703125" customWidth="1"/>
    <col min="21" max="21" width="8.5703125" customWidth="1"/>
  </cols>
  <sheetData>
    <row r="1" spans="1:21" ht="15.75" x14ac:dyDescent="0.25">
      <c r="A1" s="600" t="s">
        <v>3</v>
      </c>
      <c r="B1" s="600"/>
      <c r="C1" s="600"/>
      <c r="D1" s="600"/>
      <c r="E1" s="600"/>
      <c r="F1" s="600"/>
      <c r="G1" s="600"/>
      <c r="H1" s="600"/>
      <c r="I1" s="600"/>
    </row>
    <row r="3" spans="1:21" s="39" customFormat="1" x14ac:dyDescent="0.2">
      <c r="A3" s="243" t="s">
        <v>4</v>
      </c>
      <c r="B3" s="597" t="s">
        <v>5</v>
      </c>
      <c r="C3" s="598"/>
      <c r="D3" s="598"/>
      <c r="E3" s="598"/>
      <c r="F3" s="598"/>
      <c r="G3" s="598"/>
      <c r="H3" s="598"/>
      <c r="I3" s="599"/>
      <c r="J3" s="243" t="s">
        <v>6</v>
      </c>
      <c r="L3" s="243" t="s">
        <v>4</v>
      </c>
      <c r="M3" s="597" t="s">
        <v>5</v>
      </c>
      <c r="N3" s="598"/>
      <c r="O3" s="598"/>
      <c r="P3" s="598"/>
      <c r="Q3" s="598"/>
      <c r="R3" s="598"/>
      <c r="S3" s="598"/>
      <c r="T3" s="599"/>
      <c r="U3" s="243" t="s">
        <v>6</v>
      </c>
    </row>
    <row r="4" spans="1:21" s="31" customFormat="1" ht="17.100000000000001" customHeight="1" x14ac:dyDescent="0.2">
      <c r="A4" s="231" t="s">
        <v>7</v>
      </c>
      <c r="B4" s="603" t="s">
        <v>8</v>
      </c>
      <c r="C4" s="604"/>
      <c r="D4" s="604"/>
      <c r="E4" s="604"/>
      <c r="F4" s="604"/>
      <c r="G4" s="604"/>
      <c r="H4" s="604"/>
      <c r="I4" s="605"/>
      <c r="J4" s="231">
        <v>3</v>
      </c>
      <c r="K4" s="232"/>
      <c r="L4" s="277" t="s">
        <v>9</v>
      </c>
      <c r="M4" s="337" t="s">
        <v>10</v>
      </c>
      <c r="N4" s="338"/>
      <c r="O4" s="338"/>
      <c r="P4" s="338"/>
      <c r="Q4" s="338"/>
      <c r="R4" s="338"/>
      <c r="S4" s="338"/>
      <c r="T4" s="339"/>
      <c r="U4" s="277">
        <v>40</v>
      </c>
    </row>
    <row r="5" spans="1:21" s="31" customFormat="1" ht="17.100000000000001" customHeight="1" x14ac:dyDescent="0.2">
      <c r="A5" s="233" t="s">
        <v>11</v>
      </c>
      <c r="B5" s="594" t="s">
        <v>12</v>
      </c>
      <c r="C5" s="601"/>
      <c r="D5" s="601"/>
      <c r="E5" s="601"/>
      <c r="F5" s="601"/>
      <c r="G5" s="601"/>
      <c r="H5" s="601"/>
      <c r="I5" s="602"/>
      <c r="J5" s="233">
        <v>4</v>
      </c>
      <c r="K5" s="232"/>
      <c r="L5" s="233" t="s">
        <v>13</v>
      </c>
      <c r="M5" s="594" t="s">
        <v>14</v>
      </c>
      <c r="N5" s="601"/>
      <c r="O5" s="601"/>
      <c r="P5" s="601"/>
      <c r="Q5" s="601"/>
      <c r="R5" s="601"/>
      <c r="S5" s="601"/>
      <c r="T5" s="602"/>
      <c r="U5" s="233">
        <v>41</v>
      </c>
    </row>
    <row r="6" spans="1:21" s="31" customFormat="1" ht="17.100000000000001" customHeight="1" x14ac:dyDescent="0.2">
      <c r="A6" s="233" t="s">
        <v>15</v>
      </c>
      <c r="B6" s="594" t="s">
        <v>16</v>
      </c>
      <c r="C6" s="601"/>
      <c r="D6" s="601"/>
      <c r="E6" s="601"/>
      <c r="F6" s="601"/>
      <c r="G6" s="601"/>
      <c r="H6" s="601"/>
      <c r="I6" s="602"/>
      <c r="J6" s="233">
        <v>12</v>
      </c>
      <c r="K6" s="232"/>
      <c r="L6" s="233" t="s">
        <v>17</v>
      </c>
      <c r="M6" s="291" t="s">
        <v>18</v>
      </c>
      <c r="N6" s="292"/>
      <c r="O6" s="292"/>
      <c r="P6" s="292"/>
      <c r="Q6" s="292"/>
      <c r="R6" s="292"/>
      <c r="S6" s="292"/>
      <c r="T6" s="293"/>
      <c r="U6" s="233">
        <v>42</v>
      </c>
    </row>
    <row r="7" spans="1:21" s="31" customFormat="1" ht="17.100000000000001" customHeight="1" x14ac:dyDescent="0.2">
      <c r="A7" s="233" t="s">
        <v>19</v>
      </c>
      <c r="B7" s="594" t="s">
        <v>20</v>
      </c>
      <c r="C7" s="601"/>
      <c r="D7" s="601"/>
      <c r="E7" s="601"/>
      <c r="F7" s="601"/>
      <c r="G7" s="601"/>
      <c r="H7" s="601"/>
      <c r="I7" s="602"/>
      <c r="J7" s="233">
        <v>15</v>
      </c>
      <c r="K7" s="232"/>
      <c r="L7" s="233" t="s">
        <v>21</v>
      </c>
      <c r="M7" s="291" t="s">
        <v>22</v>
      </c>
      <c r="N7" s="292"/>
      <c r="O7" s="292"/>
      <c r="P7" s="292"/>
      <c r="Q7" s="292"/>
      <c r="R7" s="292"/>
      <c r="S7" s="292"/>
      <c r="T7" s="293"/>
      <c r="U7" s="233">
        <v>43</v>
      </c>
    </row>
    <row r="8" spans="1:21" s="31" customFormat="1" ht="17.100000000000001" customHeight="1" x14ac:dyDescent="0.2">
      <c r="A8" s="233" t="s">
        <v>23</v>
      </c>
      <c r="B8" s="594" t="s">
        <v>24</v>
      </c>
      <c r="C8" s="601"/>
      <c r="D8" s="601"/>
      <c r="E8" s="601"/>
      <c r="F8" s="601"/>
      <c r="G8" s="601"/>
      <c r="H8" s="601"/>
      <c r="I8" s="602"/>
      <c r="J8" s="233">
        <v>15</v>
      </c>
      <c r="K8" s="232"/>
      <c r="L8" s="233" t="s">
        <v>25</v>
      </c>
      <c r="M8" s="291" t="s">
        <v>26</v>
      </c>
      <c r="N8" s="292"/>
      <c r="O8" s="292"/>
      <c r="P8" s="292"/>
      <c r="Q8" s="292"/>
      <c r="R8" s="292"/>
      <c r="S8" s="292"/>
      <c r="T8" s="293"/>
      <c r="U8" s="233">
        <v>44</v>
      </c>
    </row>
    <row r="9" spans="1:21" s="31" customFormat="1" ht="17.100000000000001" customHeight="1" x14ac:dyDescent="0.2">
      <c r="A9" s="233" t="s">
        <v>27</v>
      </c>
      <c r="B9" s="594" t="s">
        <v>28</v>
      </c>
      <c r="C9" s="601"/>
      <c r="D9" s="601"/>
      <c r="E9" s="601"/>
      <c r="F9" s="601"/>
      <c r="G9" s="601"/>
      <c r="H9" s="601"/>
      <c r="I9" s="602"/>
      <c r="J9" s="233">
        <v>16</v>
      </c>
      <c r="K9" s="232"/>
      <c r="L9" s="233" t="s">
        <v>29</v>
      </c>
      <c r="M9" s="291" t="s">
        <v>30</v>
      </c>
      <c r="N9" s="292"/>
      <c r="O9" s="292"/>
      <c r="P9" s="292"/>
      <c r="Q9" s="292"/>
      <c r="R9" s="292"/>
      <c r="S9" s="292"/>
      <c r="T9" s="293"/>
      <c r="U9" s="233">
        <v>45</v>
      </c>
    </row>
    <row r="10" spans="1:21" s="31" customFormat="1" ht="17.100000000000001" customHeight="1" x14ac:dyDescent="0.2">
      <c r="A10" s="233" t="s">
        <v>31</v>
      </c>
      <c r="B10" s="291" t="s">
        <v>32</v>
      </c>
      <c r="C10" s="292"/>
      <c r="D10" s="292"/>
      <c r="E10" s="292"/>
      <c r="F10" s="292"/>
      <c r="G10" s="292"/>
      <c r="H10" s="292"/>
      <c r="I10" s="293"/>
      <c r="J10" s="233">
        <v>17</v>
      </c>
      <c r="K10" s="232"/>
      <c r="L10" s="233" t="s">
        <v>33</v>
      </c>
      <c r="M10" s="291" t="s">
        <v>34</v>
      </c>
      <c r="N10" s="292"/>
      <c r="O10" s="292"/>
      <c r="P10" s="292"/>
      <c r="Q10" s="292"/>
      <c r="R10" s="292"/>
      <c r="S10" s="292"/>
      <c r="T10" s="293"/>
      <c r="U10" s="233">
        <v>46</v>
      </c>
    </row>
    <row r="11" spans="1:21" s="31" customFormat="1" ht="17.100000000000001" customHeight="1" x14ac:dyDescent="0.2">
      <c r="A11" s="233" t="s">
        <v>35</v>
      </c>
      <c r="B11" s="291" t="s">
        <v>36</v>
      </c>
      <c r="C11" s="292"/>
      <c r="D11" s="292"/>
      <c r="E11" s="292"/>
      <c r="F11" s="292"/>
      <c r="G11" s="292"/>
      <c r="H11" s="292"/>
      <c r="I11" s="293"/>
      <c r="J11" s="233">
        <v>18</v>
      </c>
      <c r="K11" s="232"/>
      <c r="L11" s="233" t="s">
        <v>37</v>
      </c>
      <c r="M11" s="291" t="s">
        <v>38</v>
      </c>
      <c r="N11" s="292"/>
      <c r="O11" s="292"/>
      <c r="P11" s="292"/>
      <c r="Q11" s="292"/>
      <c r="R11" s="292"/>
      <c r="S11" s="292"/>
      <c r="T11" s="293"/>
      <c r="U11" s="233">
        <v>47</v>
      </c>
    </row>
    <row r="12" spans="1:21" s="31" customFormat="1" ht="17.100000000000001" customHeight="1" x14ac:dyDescent="0.2">
      <c r="A12" s="233" t="s">
        <v>39</v>
      </c>
      <c r="B12" s="291" t="s">
        <v>40</v>
      </c>
      <c r="C12" s="292"/>
      <c r="D12" s="292"/>
      <c r="E12" s="292"/>
      <c r="F12" s="292"/>
      <c r="G12" s="292"/>
      <c r="H12" s="292"/>
      <c r="I12" s="293"/>
      <c r="J12" s="233">
        <v>19</v>
      </c>
      <c r="K12" s="232"/>
      <c r="L12" s="233" t="s">
        <v>41</v>
      </c>
      <c r="M12" s="291" t="s">
        <v>42</v>
      </c>
      <c r="N12" s="292"/>
      <c r="O12" s="292"/>
      <c r="P12" s="292"/>
      <c r="Q12" s="292"/>
      <c r="R12" s="292"/>
      <c r="S12" s="292"/>
      <c r="T12" s="293"/>
      <c r="U12" s="233">
        <v>48</v>
      </c>
    </row>
    <row r="13" spans="1:21" s="31" customFormat="1" ht="17.100000000000001" customHeight="1" x14ac:dyDescent="0.2">
      <c r="A13" s="233" t="s">
        <v>43</v>
      </c>
      <c r="B13" s="291" t="s">
        <v>44</v>
      </c>
      <c r="C13" s="292"/>
      <c r="D13" s="292"/>
      <c r="E13" s="292"/>
      <c r="F13" s="292"/>
      <c r="G13" s="292"/>
      <c r="H13" s="292"/>
      <c r="I13" s="293"/>
      <c r="J13" s="233">
        <v>20</v>
      </c>
      <c r="K13" s="232"/>
      <c r="L13" s="233" t="s">
        <v>45</v>
      </c>
      <c r="M13" s="291" t="s">
        <v>46</v>
      </c>
      <c r="N13" s="292"/>
      <c r="O13" s="292"/>
      <c r="P13" s="292"/>
      <c r="Q13" s="292"/>
      <c r="R13" s="292"/>
      <c r="S13" s="292"/>
      <c r="T13" s="293"/>
      <c r="U13" s="233">
        <v>49</v>
      </c>
    </row>
    <row r="14" spans="1:21" s="31" customFormat="1" ht="17.100000000000001" customHeight="1" x14ac:dyDescent="0.2">
      <c r="A14" s="233" t="s">
        <v>47</v>
      </c>
      <c r="B14" s="291" t="s">
        <v>48</v>
      </c>
      <c r="C14" s="292"/>
      <c r="D14" s="292"/>
      <c r="E14" s="292"/>
      <c r="F14" s="292"/>
      <c r="G14" s="292"/>
      <c r="H14" s="292"/>
      <c r="I14" s="293"/>
      <c r="J14" s="233">
        <v>21</v>
      </c>
      <c r="K14" s="232"/>
      <c r="L14" s="233" t="s">
        <v>49</v>
      </c>
      <c r="M14" s="291" t="s">
        <v>50</v>
      </c>
      <c r="N14" s="292"/>
      <c r="O14" s="292"/>
      <c r="P14" s="292"/>
      <c r="Q14" s="292"/>
      <c r="R14" s="292"/>
      <c r="S14" s="292"/>
      <c r="T14" s="293"/>
      <c r="U14" s="233">
        <v>50</v>
      </c>
    </row>
    <row r="15" spans="1:21" s="31" customFormat="1" ht="17.100000000000001" customHeight="1" x14ac:dyDescent="0.2">
      <c r="A15" s="233" t="s">
        <v>51</v>
      </c>
      <c r="B15" s="291" t="s">
        <v>52</v>
      </c>
      <c r="C15" s="292"/>
      <c r="D15" s="292"/>
      <c r="E15" s="292"/>
      <c r="F15" s="292"/>
      <c r="G15" s="292"/>
      <c r="H15" s="292"/>
      <c r="I15" s="293"/>
      <c r="J15" s="233">
        <v>22</v>
      </c>
      <c r="K15" s="232"/>
      <c r="L15" s="233" t="s">
        <v>53</v>
      </c>
      <c r="M15" s="291" t="s">
        <v>54</v>
      </c>
      <c r="N15" s="292"/>
      <c r="O15" s="292"/>
      <c r="P15" s="292"/>
      <c r="Q15" s="292"/>
      <c r="R15" s="292"/>
      <c r="S15" s="292"/>
      <c r="T15" s="293"/>
      <c r="U15" s="233">
        <v>51</v>
      </c>
    </row>
    <row r="16" spans="1:21" s="31" customFormat="1" ht="17.100000000000001" customHeight="1" x14ac:dyDescent="0.2">
      <c r="A16" s="233" t="s">
        <v>55</v>
      </c>
      <c r="B16" s="291" t="s">
        <v>56</v>
      </c>
      <c r="C16" s="292"/>
      <c r="D16" s="292"/>
      <c r="E16" s="292"/>
      <c r="F16" s="292"/>
      <c r="G16" s="292"/>
      <c r="H16" s="292"/>
      <c r="I16" s="293"/>
      <c r="J16" s="233">
        <v>23</v>
      </c>
      <c r="K16" s="232"/>
      <c r="L16" s="233" t="s">
        <v>57</v>
      </c>
      <c r="M16" s="594" t="s">
        <v>58</v>
      </c>
      <c r="N16" s="595"/>
      <c r="O16" s="595"/>
      <c r="P16" s="595"/>
      <c r="Q16" s="595"/>
      <c r="R16" s="595"/>
      <c r="S16" s="595"/>
      <c r="T16" s="596"/>
      <c r="U16" s="233">
        <v>52</v>
      </c>
    </row>
    <row r="17" spans="1:21" s="31" customFormat="1" ht="17.100000000000001" customHeight="1" x14ac:dyDescent="0.2">
      <c r="A17" s="233" t="s">
        <v>59</v>
      </c>
      <c r="B17" s="291" t="s">
        <v>60</v>
      </c>
      <c r="C17" s="292"/>
      <c r="D17" s="292"/>
      <c r="E17" s="292"/>
      <c r="F17" s="292"/>
      <c r="G17" s="292"/>
      <c r="H17" s="292"/>
      <c r="I17" s="293"/>
      <c r="J17" s="233">
        <v>24</v>
      </c>
      <c r="K17" s="232"/>
      <c r="L17" s="233" t="s">
        <v>61</v>
      </c>
      <c r="M17" s="291" t="s">
        <v>62</v>
      </c>
      <c r="N17" s="292"/>
      <c r="O17" s="292"/>
      <c r="P17" s="292"/>
      <c r="Q17" s="292"/>
      <c r="R17" s="292"/>
      <c r="S17" s="292"/>
      <c r="T17" s="293"/>
      <c r="U17" s="233">
        <v>54</v>
      </c>
    </row>
    <row r="18" spans="1:21" s="31" customFormat="1" ht="17.100000000000001" customHeight="1" x14ac:dyDescent="0.2">
      <c r="A18" s="233" t="s">
        <v>63</v>
      </c>
      <c r="B18" s="291" t="s">
        <v>64</v>
      </c>
      <c r="C18" s="292"/>
      <c r="D18" s="292"/>
      <c r="E18" s="292"/>
      <c r="F18" s="292"/>
      <c r="G18" s="292"/>
      <c r="H18" s="292"/>
      <c r="I18" s="293"/>
      <c r="J18" s="233">
        <v>25</v>
      </c>
      <c r="K18" s="232"/>
      <c r="L18" s="233" t="s">
        <v>65</v>
      </c>
      <c r="M18" s="291" t="s">
        <v>66</v>
      </c>
      <c r="N18" s="292"/>
      <c r="O18" s="292"/>
      <c r="P18" s="292"/>
      <c r="Q18" s="292"/>
      <c r="R18" s="292"/>
      <c r="S18" s="292"/>
      <c r="T18" s="293"/>
      <c r="U18" s="233">
        <v>56</v>
      </c>
    </row>
    <row r="19" spans="1:21" s="31" customFormat="1" ht="17.100000000000001" customHeight="1" x14ac:dyDescent="0.2">
      <c r="A19" s="233" t="s">
        <v>67</v>
      </c>
      <c r="B19" s="291" t="s">
        <v>68</v>
      </c>
      <c r="C19" s="292"/>
      <c r="D19" s="292"/>
      <c r="E19" s="292"/>
      <c r="F19" s="292"/>
      <c r="G19" s="292"/>
      <c r="H19" s="292"/>
      <c r="I19" s="293"/>
      <c r="J19" s="233">
        <v>26</v>
      </c>
      <c r="K19" s="232"/>
      <c r="L19" s="233" t="s">
        <v>69</v>
      </c>
      <c r="M19" s="291" t="s">
        <v>70</v>
      </c>
      <c r="N19" s="292"/>
      <c r="O19" s="292"/>
      <c r="P19" s="292"/>
      <c r="Q19" s="292"/>
      <c r="R19" s="292"/>
      <c r="S19" s="292"/>
      <c r="T19" s="293"/>
      <c r="U19" s="233">
        <v>58</v>
      </c>
    </row>
    <row r="20" spans="1:21" s="31" customFormat="1" ht="17.100000000000001" customHeight="1" x14ac:dyDescent="0.2">
      <c r="A20" s="233" t="s">
        <v>71</v>
      </c>
      <c r="B20" s="291" t="s">
        <v>72</v>
      </c>
      <c r="C20" s="292"/>
      <c r="D20" s="292"/>
      <c r="E20" s="292"/>
      <c r="F20" s="292"/>
      <c r="G20" s="292"/>
      <c r="H20" s="292"/>
      <c r="I20" s="293"/>
      <c r="J20" s="233">
        <v>27</v>
      </c>
      <c r="K20" s="232"/>
      <c r="L20" s="234" t="s">
        <v>73</v>
      </c>
      <c r="M20" s="334" t="s">
        <v>74</v>
      </c>
      <c r="N20" s="335"/>
      <c r="O20" s="335"/>
      <c r="P20" s="335"/>
      <c r="Q20" s="335"/>
      <c r="R20" s="335"/>
      <c r="S20" s="335"/>
      <c r="T20" s="336"/>
      <c r="U20" s="234">
        <v>61</v>
      </c>
    </row>
    <row r="21" spans="1:21" s="31" customFormat="1" ht="17.100000000000001" customHeight="1" x14ac:dyDescent="0.2">
      <c r="A21" s="233" t="s">
        <v>75</v>
      </c>
      <c r="B21" s="291" t="s">
        <v>76</v>
      </c>
      <c r="C21" s="292"/>
      <c r="D21" s="292"/>
      <c r="E21" s="292"/>
      <c r="F21" s="292"/>
      <c r="G21" s="292"/>
      <c r="H21" s="292"/>
      <c r="I21" s="293"/>
      <c r="J21" s="233">
        <v>28</v>
      </c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</row>
    <row r="22" spans="1:21" s="31" customFormat="1" ht="17.100000000000001" customHeight="1" x14ac:dyDescent="0.2">
      <c r="A22" s="233" t="s">
        <v>77</v>
      </c>
      <c r="B22" s="291" t="s">
        <v>78</v>
      </c>
      <c r="C22" s="292"/>
      <c r="D22" s="292"/>
      <c r="E22" s="292"/>
      <c r="F22" s="292"/>
      <c r="G22" s="292"/>
      <c r="H22" s="292"/>
      <c r="I22" s="293"/>
      <c r="J22" s="233">
        <v>29</v>
      </c>
      <c r="K22" s="232"/>
      <c r="L22" s="232"/>
      <c r="M22" s="278"/>
      <c r="N22" s="232"/>
      <c r="O22" s="232"/>
      <c r="P22" s="232"/>
      <c r="Q22" s="232"/>
      <c r="R22" s="232"/>
      <c r="S22" s="232"/>
      <c r="T22" s="232"/>
      <c r="U22" s="232"/>
    </row>
    <row r="23" spans="1:21" s="31" customFormat="1" ht="17.100000000000001" customHeight="1" x14ac:dyDescent="0.2">
      <c r="A23" s="233" t="s">
        <v>79</v>
      </c>
      <c r="B23" s="291" t="s">
        <v>80</v>
      </c>
      <c r="C23" s="292"/>
      <c r="D23" s="292"/>
      <c r="E23" s="292"/>
      <c r="F23" s="292"/>
      <c r="G23" s="292"/>
      <c r="H23" s="292"/>
      <c r="I23" s="293"/>
      <c r="J23" s="233">
        <v>30</v>
      </c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</row>
    <row r="24" spans="1:21" s="31" customFormat="1" ht="17.100000000000001" customHeight="1" x14ac:dyDescent="0.2">
      <c r="A24" s="233" t="s">
        <v>81</v>
      </c>
      <c r="B24" s="291" t="s">
        <v>82</v>
      </c>
      <c r="C24" s="292"/>
      <c r="D24" s="292"/>
      <c r="E24" s="292"/>
      <c r="F24" s="292"/>
      <c r="G24" s="292"/>
      <c r="H24" s="292"/>
      <c r="I24" s="293"/>
      <c r="J24" s="233">
        <v>31</v>
      </c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</row>
    <row r="25" spans="1:21" s="31" customFormat="1" ht="17.100000000000001" customHeight="1" x14ac:dyDescent="0.2">
      <c r="A25" s="233" t="s">
        <v>83</v>
      </c>
      <c r="B25" s="291" t="s">
        <v>84</v>
      </c>
      <c r="C25" s="292"/>
      <c r="D25" s="292"/>
      <c r="E25" s="292"/>
      <c r="F25" s="292"/>
      <c r="G25" s="292"/>
      <c r="H25" s="292"/>
      <c r="I25" s="293"/>
      <c r="J25" s="233">
        <v>32</v>
      </c>
      <c r="K25" s="232"/>
      <c r="L25" s="232"/>
      <c r="M25" s="232"/>
      <c r="N25" s="65"/>
      <c r="O25" s="232"/>
      <c r="P25" s="232"/>
      <c r="Q25" s="232"/>
      <c r="R25" s="232"/>
      <c r="S25" s="232"/>
      <c r="T25" s="232"/>
      <c r="U25" s="232"/>
    </row>
    <row r="26" spans="1:21" s="31" customFormat="1" ht="17.100000000000001" customHeight="1" x14ac:dyDescent="0.2">
      <c r="A26" s="233" t="s">
        <v>85</v>
      </c>
      <c r="B26" s="291" t="s">
        <v>86</v>
      </c>
      <c r="C26" s="292"/>
      <c r="D26" s="292"/>
      <c r="E26" s="292"/>
      <c r="F26" s="292"/>
      <c r="G26" s="292"/>
      <c r="H26" s="292"/>
      <c r="I26" s="293"/>
      <c r="J26" s="233">
        <v>33</v>
      </c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</row>
    <row r="27" spans="1:21" s="31" customFormat="1" ht="17.100000000000001" customHeight="1" x14ac:dyDescent="0.2">
      <c r="A27" s="233" t="s">
        <v>87</v>
      </c>
      <c r="B27" s="291" t="s">
        <v>88</v>
      </c>
      <c r="C27" s="292"/>
      <c r="D27" s="292"/>
      <c r="E27" s="292"/>
      <c r="F27" s="292"/>
      <c r="G27" s="292"/>
      <c r="H27" s="292"/>
      <c r="I27" s="293"/>
      <c r="J27" s="233">
        <v>34</v>
      </c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</row>
    <row r="28" spans="1:21" s="31" customFormat="1" ht="17.100000000000001" customHeight="1" x14ac:dyDescent="0.2">
      <c r="A28" s="233" t="s">
        <v>89</v>
      </c>
      <c r="B28" s="291" t="s">
        <v>90</v>
      </c>
      <c r="C28" s="292"/>
      <c r="D28" s="292"/>
      <c r="E28" s="292"/>
      <c r="F28" s="292"/>
      <c r="G28" s="292"/>
      <c r="H28" s="292"/>
      <c r="I28" s="293"/>
      <c r="J28" s="233">
        <v>35</v>
      </c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</row>
    <row r="29" spans="1:21" s="31" customFormat="1" ht="17.100000000000001" customHeight="1" x14ac:dyDescent="0.2">
      <c r="A29" s="233" t="s">
        <v>91</v>
      </c>
      <c r="B29" s="291" t="s">
        <v>92</v>
      </c>
      <c r="C29" s="292"/>
      <c r="D29" s="292"/>
      <c r="E29" s="292"/>
      <c r="F29" s="292"/>
      <c r="G29" s="292"/>
      <c r="H29" s="292"/>
      <c r="I29" s="293"/>
      <c r="J29" s="233">
        <v>36</v>
      </c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</row>
    <row r="30" spans="1:21" ht="17.100000000000001" customHeight="1" x14ac:dyDescent="0.2">
      <c r="A30" s="233" t="s">
        <v>93</v>
      </c>
      <c r="B30" s="291" t="s">
        <v>94</v>
      </c>
      <c r="C30" s="292"/>
      <c r="D30" s="292"/>
      <c r="E30" s="292"/>
      <c r="F30" s="292"/>
      <c r="G30" s="292"/>
      <c r="H30" s="292"/>
      <c r="I30" s="293"/>
      <c r="J30" s="233">
        <v>37</v>
      </c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</row>
    <row r="31" spans="1:21" ht="17.100000000000001" customHeight="1" x14ac:dyDescent="0.2">
      <c r="A31" s="233" t="s">
        <v>95</v>
      </c>
      <c r="B31" s="291" t="s">
        <v>96</v>
      </c>
      <c r="C31" s="292"/>
      <c r="D31" s="292"/>
      <c r="E31" s="292"/>
      <c r="F31" s="292"/>
      <c r="G31" s="292"/>
      <c r="H31" s="292"/>
      <c r="I31" s="293"/>
      <c r="J31" s="233">
        <v>38</v>
      </c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</row>
    <row r="32" spans="1:21" ht="17.100000000000001" customHeight="1" x14ac:dyDescent="0.2">
      <c r="A32" s="234" t="s">
        <v>97</v>
      </c>
      <c r="B32" s="334" t="s">
        <v>98</v>
      </c>
      <c r="C32" s="335"/>
      <c r="D32" s="335"/>
      <c r="E32" s="335"/>
      <c r="F32" s="335"/>
      <c r="G32" s="335"/>
      <c r="H32" s="335"/>
      <c r="I32" s="336"/>
      <c r="J32" s="234">
        <v>39</v>
      </c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</row>
    <row r="33" ht="17.100000000000001" customHeight="1" x14ac:dyDescent="0.2"/>
  </sheetData>
  <mergeCells count="11">
    <mergeCell ref="M16:T16"/>
    <mergeCell ref="M3:T3"/>
    <mergeCell ref="A1:I1"/>
    <mergeCell ref="B5:I5"/>
    <mergeCell ref="B3:I3"/>
    <mergeCell ref="M5:T5"/>
    <mergeCell ref="B8:I8"/>
    <mergeCell ref="B7:I7"/>
    <mergeCell ref="B6:I6"/>
    <mergeCell ref="B4:I4"/>
    <mergeCell ref="B9:I9"/>
  </mergeCells>
  <phoneticPr fontId="0" type="noConversion"/>
  <pageMargins left="0.78740157480314965" right="0.19685039370078741" top="0.62992125984251968" bottom="0.47244094488188981" header="0.51181102362204722" footer="0.43307086614173229"/>
  <pageSetup paperSize="9" scale="9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List5"/>
  <dimension ref="B1:O94"/>
  <sheetViews>
    <sheetView topLeftCell="H1" zoomScaleNormal="100" workbookViewId="0">
      <selection activeCell="I22" sqref="I22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607</v>
      </c>
      <c r="C2" s="639"/>
      <c r="D2" s="639"/>
      <c r="E2" s="639"/>
      <c r="F2" s="639"/>
      <c r="G2" s="639"/>
      <c r="H2" s="639"/>
      <c r="I2" s="639"/>
      <c r="J2" s="666"/>
      <c r="K2" s="666"/>
      <c r="L2" s="666"/>
      <c r="M2" s="666"/>
      <c r="N2" s="666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592</v>
      </c>
      <c r="C7" s="7" t="s">
        <v>608</v>
      </c>
      <c r="D7" s="7" t="s">
        <v>555</v>
      </c>
      <c r="E7" s="285" t="s">
        <v>609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70150</v>
      </c>
      <c r="J8" s="154">
        <f t="shared" si="0"/>
        <v>70150</v>
      </c>
      <c r="K8" s="154">
        <f t="shared" si="0"/>
        <v>35728</v>
      </c>
      <c r="L8" s="320">
        <f>SUM(L9:L10)</f>
        <v>74700</v>
      </c>
      <c r="M8" s="154">
        <f>SUM(M9:M10)</f>
        <v>0</v>
      </c>
      <c r="N8" s="480">
        <f>SUM(N9:N10)</f>
        <v>74700</v>
      </c>
      <c r="O8" s="532">
        <f t="shared" ref="O8:O29" si="1">IF(J8=0,"",N8/J8*100)</f>
        <v>106.48610121168925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58670</v>
      </c>
      <c r="J9" s="155">
        <v>58670</v>
      </c>
      <c r="K9" s="155">
        <v>29460</v>
      </c>
      <c r="L9" s="251">
        <f>60490+100</f>
        <v>60590</v>
      </c>
      <c r="M9" s="155">
        <v>0</v>
      </c>
      <c r="N9" s="481">
        <f>SUM(L9:M9)</f>
        <v>60590</v>
      </c>
      <c r="O9" s="533">
        <f t="shared" si="1"/>
        <v>103.27254133287882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11480</v>
      </c>
      <c r="J10" s="155">
        <v>11480</v>
      </c>
      <c r="K10" s="155">
        <v>6268</v>
      </c>
      <c r="L10" s="251">
        <f>13210+100+2*400</f>
        <v>14110</v>
      </c>
      <c r="M10" s="155">
        <v>0</v>
      </c>
      <c r="N10" s="481">
        <f t="shared" ref="N10" si="2">SUM(L10:M10)</f>
        <v>14110</v>
      </c>
      <c r="O10" s="533">
        <f t="shared" si="1"/>
        <v>122.90940766550523</v>
      </c>
    </row>
    <row r="11" spans="2:15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6220</v>
      </c>
      <c r="J12" s="154">
        <f t="shared" si="3"/>
        <v>6220</v>
      </c>
      <c r="K12" s="154">
        <f t="shared" si="3"/>
        <v>3093</v>
      </c>
      <c r="L12" s="320">
        <f t="shared" ref="L12:N12" si="4">L13</f>
        <v>6390</v>
      </c>
      <c r="M12" s="154">
        <f t="shared" si="4"/>
        <v>0</v>
      </c>
      <c r="N12" s="480">
        <f t="shared" si="4"/>
        <v>6390</v>
      </c>
      <c r="O12" s="532">
        <f t="shared" si="1"/>
        <v>102.7331189710611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6220</v>
      </c>
      <c r="J13" s="155">
        <v>6220</v>
      </c>
      <c r="K13" s="155">
        <v>3093</v>
      </c>
      <c r="L13" s="251">
        <f>6370+20</f>
        <v>6390</v>
      </c>
      <c r="M13" s="155">
        <v>0</v>
      </c>
      <c r="N13" s="481">
        <f>SUM(L13:M13)</f>
        <v>6390</v>
      </c>
      <c r="O13" s="533">
        <f t="shared" si="1"/>
        <v>102.7331189710611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4100</v>
      </c>
      <c r="J15" s="156">
        <f t="shared" si="5"/>
        <v>4100</v>
      </c>
      <c r="K15" s="156">
        <f t="shared" si="5"/>
        <v>452</v>
      </c>
      <c r="L15" s="321">
        <f>SUM(L16:L24)</f>
        <v>5100</v>
      </c>
      <c r="M15" s="156">
        <f>SUM(M16:M24)</f>
        <v>0</v>
      </c>
      <c r="N15" s="455">
        <f>SUM(N16:N24)</f>
        <v>5100</v>
      </c>
      <c r="O15" s="532">
        <f t="shared" si="1"/>
        <v>124.39024390243902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1000</v>
      </c>
      <c r="J16" s="155">
        <v>1000</v>
      </c>
      <c r="K16" s="155">
        <v>0</v>
      </c>
      <c r="L16" s="251">
        <v>1000</v>
      </c>
      <c r="M16" s="155">
        <v>0</v>
      </c>
      <c r="N16" s="481">
        <f t="shared" ref="N16:N24" si="6">SUM(L16:M16)</f>
        <v>1000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0</v>
      </c>
      <c r="J17" s="155">
        <v>0</v>
      </c>
      <c r="K17" s="155">
        <v>0</v>
      </c>
      <c r="L17" s="251">
        <v>0</v>
      </c>
      <c r="M17" s="155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600</v>
      </c>
      <c r="J18" s="155">
        <v>600</v>
      </c>
      <c r="K18" s="155">
        <v>250</v>
      </c>
      <c r="L18" s="251">
        <v>600</v>
      </c>
      <c r="M18" s="155">
        <v>0</v>
      </c>
      <c r="N18" s="481">
        <f t="shared" si="6"/>
        <v>600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1000</v>
      </c>
      <c r="J19" s="155">
        <v>1000</v>
      </c>
      <c r="K19" s="155">
        <v>108</v>
      </c>
      <c r="L19" s="251">
        <v>1000</v>
      </c>
      <c r="M19" s="155">
        <v>0</v>
      </c>
      <c r="N19" s="481">
        <f t="shared" si="6"/>
        <v>1000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0</v>
      </c>
      <c r="J20" s="155">
        <v>0</v>
      </c>
      <c r="K20" s="155">
        <v>0</v>
      </c>
      <c r="L20" s="251">
        <v>0</v>
      </c>
      <c r="M20" s="155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500</v>
      </c>
      <c r="J22" s="155">
        <v>500</v>
      </c>
      <c r="K22" s="155">
        <v>0</v>
      </c>
      <c r="L22" s="251">
        <v>500</v>
      </c>
      <c r="M22" s="155">
        <v>0</v>
      </c>
      <c r="N22" s="481">
        <f t="shared" si="6"/>
        <v>500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0</v>
      </c>
      <c r="J23" s="155">
        <v>0</v>
      </c>
      <c r="K23" s="155">
        <v>0</v>
      </c>
      <c r="L23" s="251">
        <v>0</v>
      </c>
      <c r="M23" s="155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1000</v>
      </c>
      <c r="J24" s="155">
        <v>1000</v>
      </c>
      <c r="K24" s="155">
        <v>94</v>
      </c>
      <c r="L24" s="251">
        <v>2000</v>
      </c>
      <c r="M24" s="155">
        <v>0</v>
      </c>
      <c r="N24" s="481">
        <f t="shared" si="6"/>
        <v>2000</v>
      </c>
      <c r="O24" s="533">
        <f t="shared" si="1"/>
        <v>200</v>
      </c>
    </row>
    <row r="25" spans="2:15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8000</v>
      </c>
      <c r="J26" s="154">
        <f t="shared" si="7"/>
        <v>8000</v>
      </c>
      <c r="K26" s="154">
        <f t="shared" si="7"/>
        <v>0</v>
      </c>
      <c r="L26" s="320">
        <f t="shared" ref="L26:N26" si="8">SUM(L27:L28)</f>
        <v>8000</v>
      </c>
      <c r="M26" s="154">
        <f t="shared" si="8"/>
        <v>0</v>
      </c>
      <c r="N26" s="455">
        <f t="shared" si="8"/>
        <v>8000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0</v>
      </c>
      <c r="J27" s="155">
        <v>0</v>
      </c>
      <c r="K27" s="155">
        <v>0</v>
      </c>
      <c r="L27" s="251">
        <v>0</v>
      </c>
      <c r="M27" s="155">
        <v>0</v>
      </c>
      <c r="N27" s="481">
        <f t="shared" ref="N27:N28" si="9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8000</v>
      </c>
      <c r="J28" s="155">
        <v>8000</v>
      </c>
      <c r="K28" s="155">
        <v>0</v>
      </c>
      <c r="L28" s="251">
        <v>8000</v>
      </c>
      <c r="M28" s="155">
        <v>0</v>
      </c>
      <c r="N28" s="481">
        <f t="shared" si="9"/>
        <v>8000</v>
      </c>
      <c r="O28" s="533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610</v>
      </c>
      <c r="J30" s="266" t="s">
        <v>610</v>
      </c>
      <c r="K30" s="266" t="s">
        <v>611</v>
      </c>
      <c r="L30" s="322" t="s">
        <v>611</v>
      </c>
      <c r="M30" s="154"/>
      <c r="N30" s="450" t="s">
        <v>611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88470</v>
      </c>
      <c r="J31" s="14">
        <f t="shared" si="10"/>
        <v>88470</v>
      </c>
      <c r="K31" s="14">
        <f t="shared" si="10"/>
        <v>39273</v>
      </c>
      <c r="L31" s="259">
        <f t="shared" si="10"/>
        <v>94190</v>
      </c>
      <c r="M31" s="14">
        <f t="shared" si="10"/>
        <v>0</v>
      </c>
      <c r="N31" s="455">
        <f t="shared" si="10"/>
        <v>94190</v>
      </c>
      <c r="O31" s="532">
        <f>IF(J31=0,"",N31/J31*100)</f>
        <v>106.4654685204024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14">
        <f t="shared" ref="I32:J32" si="11">I31</f>
        <v>88470</v>
      </c>
      <c r="J32" s="14">
        <f t="shared" si="11"/>
        <v>88470</v>
      </c>
      <c r="K32" s="14">
        <f t="shared" ref="K32" si="12">K31</f>
        <v>39273</v>
      </c>
      <c r="L32" s="259">
        <f t="shared" ref="L32:N32" si="13">L31</f>
        <v>94190</v>
      </c>
      <c r="M32" s="14">
        <f t="shared" si="13"/>
        <v>0</v>
      </c>
      <c r="N32" s="455">
        <f t="shared" si="13"/>
        <v>94190</v>
      </c>
      <c r="O32" s="532">
        <f>IF(J32=0,"",N32/J32*100)</f>
        <v>106.4654685204024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>
        <f>I32+'13'!I32+'12'!I32+'10'!I33+'9'!I33</f>
        <v>2804990</v>
      </c>
      <c r="J33" s="14">
        <f>J32+'13'!J32+'12'!J32+'10'!J33+'9'!J33</f>
        <v>2804990</v>
      </c>
      <c r="K33" s="14">
        <f>K32+'13'!K32+'12'!K32+'10'!K33+'9'!K33</f>
        <v>1401422</v>
      </c>
      <c r="L33" s="259">
        <f>L32+'13'!L32+'12'!L32+'10'!L33+'9'!L33</f>
        <v>3005760</v>
      </c>
      <c r="M33" s="14">
        <f>M32+'13'!M32+'12'!M32+'10'!M33+'9'!M33</f>
        <v>0</v>
      </c>
      <c r="N33" s="455">
        <f>N32+'13'!N32+'12'!N32+'10'!N33+'9'!N33</f>
        <v>3005760</v>
      </c>
      <c r="O33" s="532">
        <f>IF(J33=0,"",N33/J33*100)</f>
        <v>107.15760127487086</v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J4:J5"/>
    <mergeCell ref="L4:N4"/>
    <mergeCell ref="O4:O5"/>
    <mergeCell ref="H3:I3"/>
    <mergeCell ref="B4:B5"/>
    <mergeCell ref="C4:C5"/>
    <mergeCell ref="D4:D5"/>
    <mergeCell ref="E4:E5"/>
    <mergeCell ref="F4:F5"/>
    <mergeCell ref="G4:G5"/>
    <mergeCell ref="H4:H5"/>
    <mergeCell ref="I4:I5"/>
    <mergeCell ref="K4:K5"/>
  </mergeCells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8"/>
  <dimension ref="B1:Q99"/>
  <sheetViews>
    <sheetView topLeftCell="B3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612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  <c r="Q2" s="276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613</v>
      </c>
      <c r="C7" s="7" t="s">
        <v>554</v>
      </c>
      <c r="D7" s="7" t="s">
        <v>555</v>
      </c>
      <c r="E7" s="285" t="s">
        <v>614</v>
      </c>
      <c r="F7" s="5"/>
      <c r="G7" s="5"/>
      <c r="H7" s="5"/>
      <c r="I7" s="56"/>
      <c r="J7" s="56"/>
      <c r="K7" s="56"/>
      <c r="L7" s="268"/>
      <c r="M7" s="56"/>
      <c r="N7" s="491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338980</v>
      </c>
      <c r="J8" s="154">
        <f t="shared" si="0"/>
        <v>338980</v>
      </c>
      <c r="K8" s="154">
        <f t="shared" si="0"/>
        <v>172120</v>
      </c>
      <c r="L8" s="320">
        <f>SUM(L9:L10)</f>
        <v>357590</v>
      </c>
      <c r="M8" s="154">
        <f>SUM(M9:M10)</f>
        <v>0</v>
      </c>
      <c r="N8" s="480">
        <f>SUM(N9:N10)</f>
        <v>357590</v>
      </c>
      <c r="O8" s="532">
        <f t="shared" ref="O8:O38" si="1">IF(J8=0,"",N8/J8*100)</f>
        <v>105.48999940999468</v>
      </c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291020</v>
      </c>
      <c r="J9" s="155">
        <v>291020</v>
      </c>
      <c r="K9" s="155">
        <v>145681</v>
      </c>
      <c r="L9" s="251">
        <f>294480+2*2100+200</f>
        <v>298880</v>
      </c>
      <c r="M9" s="155">
        <v>0</v>
      </c>
      <c r="N9" s="481">
        <f>SUM(L9:M9)</f>
        <v>298880</v>
      </c>
      <c r="O9" s="533">
        <f t="shared" si="1"/>
        <v>102.70084530272834</v>
      </c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47960</v>
      </c>
      <c r="J10" s="155">
        <v>47960</v>
      </c>
      <c r="K10" s="155">
        <v>26439</v>
      </c>
      <c r="L10" s="251">
        <f>53350+2*380+200+11*400</f>
        <v>58710</v>
      </c>
      <c r="M10" s="155">
        <v>0</v>
      </c>
      <c r="N10" s="481">
        <f t="shared" ref="N10" si="2">SUM(L10:M10)</f>
        <v>58710</v>
      </c>
      <c r="O10" s="533">
        <f t="shared" si="1"/>
        <v>122.41451209341116</v>
      </c>
    </row>
    <row r="11" spans="2:17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30850</v>
      </c>
      <c r="J12" s="154">
        <f t="shared" si="3"/>
        <v>30850</v>
      </c>
      <c r="K12" s="154">
        <f t="shared" si="3"/>
        <v>15297</v>
      </c>
      <c r="L12" s="320">
        <f t="shared" ref="L12" si="4">L13</f>
        <v>31520</v>
      </c>
      <c r="M12" s="154">
        <f t="shared" ref="M12:N12" si="5">M13</f>
        <v>0</v>
      </c>
      <c r="N12" s="480">
        <f t="shared" si="5"/>
        <v>31520</v>
      </c>
      <c r="O12" s="532">
        <f t="shared" si="1"/>
        <v>102.17179902755267</v>
      </c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30850</v>
      </c>
      <c r="J13" s="155">
        <v>30850</v>
      </c>
      <c r="K13" s="155">
        <v>15297</v>
      </c>
      <c r="L13" s="251">
        <f>30970+2*250+50</f>
        <v>31520</v>
      </c>
      <c r="M13" s="155">
        <v>0</v>
      </c>
      <c r="N13" s="481">
        <f>SUM(L13:M13)</f>
        <v>31520</v>
      </c>
      <c r="O13" s="533">
        <f t="shared" si="1"/>
        <v>102.17179902755267</v>
      </c>
    </row>
    <row r="14" spans="2:17" ht="12.95" customHeight="1" x14ac:dyDescent="0.25">
      <c r="B14" s="10"/>
      <c r="C14" s="11"/>
      <c r="D14" s="11"/>
      <c r="E14" s="11"/>
      <c r="F14" s="119"/>
      <c r="G14" s="134"/>
      <c r="H14" s="22"/>
      <c r="I14" s="154"/>
      <c r="J14" s="154"/>
      <c r="K14" s="154"/>
      <c r="L14" s="320"/>
      <c r="M14" s="154"/>
      <c r="N14" s="455"/>
      <c r="O14" s="533" t="str">
        <f t="shared" si="1"/>
        <v/>
      </c>
    </row>
    <row r="15" spans="2:17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4">
        <f t="shared" ref="I15:K15" si="6">SUM(I16:I25)</f>
        <v>35350</v>
      </c>
      <c r="J15" s="154">
        <f t="shared" si="6"/>
        <v>105350</v>
      </c>
      <c r="K15" s="154">
        <f t="shared" si="6"/>
        <v>21289</v>
      </c>
      <c r="L15" s="321">
        <f>SUM(L16:L25)</f>
        <v>62716</v>
      </c>
      <c r="M15" s="156">
        <f>SUM(M16:M25)</f>
        <v>45934</v>
      </c>
      <c r="N15" s="455">
        <f>SUM(N16:N25)</f>
        <v>108650</v>
      </c>
      <c r="O15" s="532">
        <f t="shared" si="1"/>
        <v>103.13241575700047</v>
      </c>
    </row>
    <row r="16" spans="2:17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4000</v>
      </c>
      <c r="J16" s="150">
        <v>4000</v>
      </c>
      <c r="K16" s="155">
        <v>2701</v>
      </c>
      <c r="L16" s="251">
        <v>4000</v>
      </c>
      <c r="M16" s="155">
        <v>0</v>
      </c>
      <c r="N16" s="481">
        <f t="shared" ref="N16:N25" si="7">SUM(L16:M16)</f>
        <v>4000</v>
      </c>
      <c r="O16" s="533">
        <f t="shared" si="1"/>
        <v>100</v>
      </c>
    </row>
    <row r="17" spans="2:16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0</v>
      </c>
      <c r="J17" s="150">
        <v>0</v>
      </c>
      <c r="K17" s="155">
        <v>0</v>
      </c>
      <c r="L17" s="251">
        <v>0</v>
      </c>
      <c r="M17" s="155">
        <v>0</v>
      </c>
      <c r="N17" s="481">
        <f t="shared" si="7"/>
        <v>0</v>
      </c>
      <c r="O17" s="533" t="str">
        <f t="shared" si="1"/>
        <v/>
      </c>
    </row>
    <row r="18" spans="2:16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3250</v>
      </c>
      <c r="J18" s="150">
        <v>3250</v>
      </c>
      <c r="K18" s="155">
        <v>1389</v>
      </c>
      <c r="L18" s="251">
        <v>3250</v>
      </c>
      <c r="M18" s="155">
        <v>0</v>
      </c>
      <c r="N18" s="481">
        <f t="shared" si="7"/>
        <v>3250</v>
      </c>
      <c r="O18" s="533">
        <f t="shared" si="1"/>
        <v>100</v>
      </c>
    </row>
    <row r="19" spans="2:16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100</v>
      </c>
      <c r="J19" s="150">
        <v>100</v>
      </c>
      <c r="K19" s="155">
        <v>43</v>
      </c>
      <c r="L19" s="251">
        <v>100</v>
      </c>
      <c r="M19" s="155">
        <v>0</v>
      </c>
      <c r="N19" s="481">
        <f t="shared" si="7"/>
        <v>100</v>
      </c>
      <c r="O19" s="533">
        <f t="shared" si="1"/>
        <v>100</v>
      </c>
    </row>
    <row r="20" spans="2:16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0</v>
      </c>
      <c r="J20" s="150">
        <v>0</v>
      </c>
      <c r="K20" s="155">
        <v>0</v>
      </c>
      <c r="L20" s="251">
        <v>0</v>
      </c>
      <c r="M20" s="155">
        <v>0</v>
      </c>
      <c r="N20" s="481">
        <f t="shared" si="7"/>
        <v>0</v>
      </c>
      <c r="O20" s="533" t="str">
        <f t="shared" si="1"/>
        <v/>
      </c>
    </row>
    <row r="21" spans="2:16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0">
        <v>0</v>
      </c>
      <c r="K21" s="155">
        <v>0</v>
      </c>
      <c r="L21" s="251">
        <v>0</v>
      </c>
      <c r="M21" s="155">
        <v>0</v>
      </c>
      <c r="N21" s="481">
        <f t="shared" si="7"/>
        <v>0</v>
      </c>
      <c r="O21" s="533" t="str">
        <f t="shared" si="1"/>
        <v/>
      </c>
    </row>
    <row r="22" spans="2:16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1000</v>
      </c>
      <c r="J22" s="150">
        <v>1000</v>
      </c>
      <c r="K22" s="155">
        <v>0</v>
      </c>
      <c r="L22" s="251">
        <v>500</v>
      </c>
      <c r="M22" s="155">
        <v>0</v>
      </c>
      <c r="N22" s="481">
        <f t="shared" si="7"/>
        <v>500</v>
      </c>
      <c r="O22" s="533">
        <f t="shared" si="1"/>
        <v>50</v>
      </c>
    </row>
    <row r="23" spans="2:16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0</v>
      </c>
      <c r="J23" s="150">
        <v>0</v>
      </c>
      <c r="K23" s="155">
        <v>0</v>
      </c>
      <c r="L23" s="251">
        <v>0</v>
      </c>
      <c r="M23" s="155">
        <v>0</v>
      </c>
      <c r="N23" s="481">
        <f t="shared" si="7"/>
        <v>0</v>
      </c>
      <c r="O23" s="533" t="str">
        <f t="shared" si="1"/>
        <v/>
      </c>
    </row>
    <row r="24" spans="2:16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22000</v>
      </c>
      <c r="J24" s="150">
        <v>92000</v>
      </c>
      <c r="K24" s="155">
        <v>12294</v>
      </c>
      <c r="L24" s="251">
        <f>95800-41072</f>
        <v>54728</v>
      </c>
      <c r="M24" s="155">
        <v>41072</v>
      </c>
      <c r="N24" s="481">
        <f t="shared" si="7"/>
        <v>95800</v>
      </c>
      <c r="O24" s="533">
        <f t="shared" si="1"/>
        <v>104.1304347826087</v>
      </c>
    </row>
    <row r="25" spans="2:16" ht="12.95" customHeight="1" x14ac:dyDescent="0.2">
      <c r="B25" s="10"/>
      <c r="C25" s="11"/>
      <c r="D25" s="11"/>
      <c r="E25" s="11"/>
      <c r="F25" s="119">
        <v>613900</v>
      </c>
      <c r="G25" s="134" t="s">
        <v>430</v>
      </c>
      <c r="H25" s="22" t="s">
        <v>615</v>
      </c>
      <c r="I25" s="155">
        <v>5000</v>
      </c>
      <c r="J25" s="150">
        <v>5000</v>
      </c>
      <c r="K25" s="155">
        <v>4862</v>
      </c>
      <c r="L25" s="251">
        <v>138</v>
      </c>
      <c r="M25" s="155">
        <v>4862</v>
      </c>
      <c r="N25" s="582">
        <f t="shared" si="7"/>
        <v>5000</v>
      </c>
      <c r="O25" s="533">
        <f t="shared" si="1"/>
        <v>100</v>
      </c>
      <c r="P25" s="275"/>
    </row>
    <row r="26" spans="2:16" ht="12.95" customHeight="1" x14ac:dyDescent="0.25">
      <c r="B26" s="10"/>
      <c r="C26" s="11"/>
      <c r="D26" s="11"/>
      <c r="E26" s="11"/>
      <c r="F26" s="119"/>
      <c r="G26" s="134"/>
      <c r="H26" s="22"/>
      <c r="I26" s="154"/>
      <c r="J26" s="154"/>
      <c r="K26" s="154"/>
      <c r="L26" s="320"/>
      <c r="M26" s="154"/>
      <c r="N26" s="455"/>
      <c r="O26" s="533" t="str">
        <f t="shared" si="1"/>
        <v/>
      </c>
    </row>
    <row r="27" spans="2:16" s="1" customFormat="1" ht="12.95" customHeight="1" x14ac:dyDescent="0.25">
      <c r="B27" s="12"/>
      <c r="C27" s="8"/>
      <c r="D27" s="8"/>
      <c r="E27" s="8"/>
      <c r="F27" s="118">
        <v>614000</v>
      </c>
      <c r="G27" s="133"/>
      <c r="H27" s="23" t="s">
        <v>434</v>
      </c>
      <c r="I27" s="154">
        <f t="shared" ref="I27:K27" si="8">SUM(I28:I29)</f>
        <v>1300000</v>
      </c>
      <c r="J27" s="154">
        <f t="shared" si="8"/>
        <v>1320000</v>
      </c>
      <c r="K27" s="154">
        <f t="shared" si="8"/>
        <v>299297</v>
      </c>
      <c r="L27" s="320">
        <f t="shared" ref="L27:N27" si="9">SUM(L28:L29)</f>
        <v>1360000</v>
      </c>
      <c r="M27" s="154">
        <f t="shared" si="9"/>
        <v>0</v>
      </c>
      <c r="N27" s="455">
        <f t="shared" si="9"/>
        <v>1360000</v>
      </c>
      <c r="O27" s="532">
        <f t="shared" si="1"/>
        <v>103.03030303030303</v>
      </c>
    </row>
    <row r="28" spans="2:16" s="1" customFormat="1" ht="12.95" customHeight="1" x14ac:dyDescent="0.2">
      <c r="B28" s="12"/>
      <c r="C28" s="8"/>
      <c r="D28" s="40"/>
      <c r="E28" s="40"/>
      <c r="F28" s="123">
        <v>614100</v>
      </c>
      <c r="G28" s="138" t="s">
        <v>438</v>
      </c>
      <c r="H28" s="304" t="s">
        <v>616</v>
      </c>
      <c r="I28" s="155">
        <v>50000</v>
      </c>
      <c r="J28" s="155">
        <v>50000</v>
      </c>
      <c r="K28" s="155">
        <v>50000</v>
      </c>
      <c r="L28" s="251">
        <v>50000</v>
      </c>
      <c r="M28" s="155">
        <v>0</v>
      </c>
      <c r="N28" s="481">
        <f>SUM(L28:M28)</f>
        <v>50000</v>
      </c>
      <c r="O28" s="533">
        <f t="shared" si="1"/>
        <v>100</v>
      </c>
    </row>
    <row r="29" spans="2:16" s="1" customFormat="1" ht="12.95" customHeight="1" x14ac:dyDescent="0.2">
      <c r="B29" s="12"/>
      <c r="C29" s="8"/>
      <c r="D29" s="40"/>
      <c r="E29" s="40"/>
      <c r="F29" s="123">
        <v>614500</v>
      </c>
      <c r="G29" s="138" t="s">
        <v>496</v>
      </c>
      <c r="H29" s="304" t="s">
        <v>617</v>
      </c>
      <c r="I29" s="155">
        <v>1250000</v>
      </c>
      <c r="J29" s="155">
        <v>1270000</v>
      </c>
      <c r="K29" s="155">
        <v>249297</v>
      </c>
      <c r="L29" s="251">
        <v>1310000</v>
      </c>
      <c r="M29" s="155">
        <v>0</v>
      </c>
      <c r="N29" s="481">
        <f>SUM(L29:M29)</f>
        <v>1310000</v>
      </c>
      <c r="O29" s="533">
        <f t="shared" si="1"/>
        <v>103.14960629921259</v>
      </c>
    </row>
    <row r="30" spans="2:16" ht="12.95" customHeight="1" x14ac:dyDescent="0.25">
      <c r="B30" s="10"/>
      <c r="C30" s="11"/>
      <c r="D30" s="11"/>
      <c r="E30" s="11"/>
      <c r="F30" s="119"/>
      <c r="G30" s="134"/>
      <c r="H30" s="22"/>
      <c r="I30" s="154"/>
      <c r="J30" s="154"/>
      <c r="K30" s="154"/>
      <c r="L30" s="320"/>
      <c r="M30" s="154"/>
      <c r="N30" s="455"/>
      <c r="O30" s="533" t="str">
        <f t="shared" si="1"/>
        <v/>
      </c>
    </row>
    <row r="31" spans="2:16" s="1" customFormat="1" ht="12.95" customHeight="1" x14ac:dyDescent="0.25">
      <c r="B31" s="12"/>
      <c r="C31" s="8"/>
      <c r="D31" s="8"/>
      <c r="E31" s="8"/>
      <c r="F31" s="118">
        <v>615000</v>
      </c>
      <c r="G31" s="133"/>
      <c r="H31" s="23" t="s">
        <v>509</v>
      </c>
      <c r="I31" s="154">
        <f t="shared" ref="I31:K31" si="10">SUM(I32:I33)</f>
        <v>1050000</v>
      </c>
      <c r="J31" s="154">
        <f t="shared" si="10"/>
        <v>1050000</v>
      </c>
      <c r="K31" s="154">
        <f t="shared" si="10"/>
        <v>0</v>
      </c>
      <c r="L31" s="320">
        <f t="shared" ref="L31:N31" si="11">SUM(L32:L33)</f>
        <v>1100000</v>
      </c>
      <c r="M31" s="154">
        <f t="shared" si="11"/>
        <v>200000</v>
      </c>
      <c r="N31" s="455">
        <f t="shared" si="11"/>
        <v>1300000</v>
      </c>
      <c r="O31" s="532">
        <f t="shared" si="1"/>
        <v>123.80952380952381</v>
      </c>
    </row>
    <row r="32" spans="2:16" s="1" customFormat="1" ht="27" customHeight="1" x14ac:dyDescent="0.2">
      <c r="B32" s="12"/>
      <c r="C32" s="8"/>
      <c r="D32" s="40"/>
      <c r="E32" s="40"/>
      <c r="F32" s="123">
        <v>615100</v>
      </c>
      <c r="G32" s="138" t="s">
        <v>512</v>
      </c>
      <c r="H32" s="501" t="s">
        <v>618</v>
      </c>
      <c r="I32" s="155">
        <v>200000</v>
      </c>
      <c r="J32" s="155">
        <v>200000</v>
      </c>
      <c r="K32" s="155">
        <v>0</v>
      </c>
      <c r="L32" s="251">
        <v>0</v>
      </c>
      <c r="M32" s="155">
        <v>200000</v>
      </c>
      <c r="N32" s="481">
        <f>SUM(L32:M32)</f>
        <v>200000</v>
      </c>
      <c r="O32" s="533">
        <f t="shared" si="1"/>
        <v>100</v>
      </c>
    </row>
    <row r="33" spans="2:15" s="1" customFormat="1" ht="12.95" customHeight="1" x14ac:dyDescent="0.2">
      <c r="B33" s="12"/>
      <c r="C33" s="8"/>
      <c r="D33" s="40"/>
      <c r="E33" s="40"/>
      <c r="F33" s="123">
        <v>615500</v>
      </c>
      <c r="G33" s="138" t="s">
        <v>518</v>
      </c>
      <c r="H33" s="304" t="s">
        <v>519</v>
      </c>
      <c r="I33" s="155">
        <v>850000</v>
      </c>
      <c r="J33" s="155">
        <v>850000</v>
      </c>
      <c r="K33" s="155">
        <v>0</v>
      </c>
      <c r="L33" s="251">
        <f>850000+250000</f>
        <v>1100000</v>
      </c>
      <c r="M33" s="155">
        <v>0</v>
      </c>
      <c r="N33" s="481">
        <f>SUM(L33:M33)</f>
        <v>1100000</v>
      </c>
      <c r="O33" s="533">
        <f t="shared" si="1"/>
        <v>129.41176470588235</v>
      </c>
    </row>
    <row r="34" spans="2:15" ht="12.95" customHeight="1" x14ac:dyDescent="0.2">
      <c r="B34" s="10"/>
      <c r="C34" s="11"/>
      <c r="D34" s="11"/>
      <c r="E34" s="11"/>
      <c r="F34" s="119"/>
      <c r="G34" s="134"/>
      <c r="H34" s="22"/>
      <c r="I34" s="155"/>
      <c r="J34" s="155"/>
      <c r="K34" s="155"/>
      <c r="L34" s="251"/>
      <c r="M34" s="155"/>
      <c r="N34" s="457"/>
      <c r="O34" s="533" t="str">
        <f t="shared" si="1"/>
        <v/>
      </c>
    </row>
    <row r="35" spans="2:15" ht="12.95" customHeight="1" x14ac:dyDescent="0.25">
      <c r="B35" s="12"/>
      <c r="C35" s="8"/>
      <c r="D35" s="8"/>
      <c r="E35" s="8"/>
      <c r="F35" s="118">
        <v>821000</v>
      </c>
      <c r="G35" s="133"/>
      <c r="H35" s="23" t="s">
        <v>526</v>
      </c>
      <c r="I35" s="154">
        <f t="shared" ref="I35:K35" si="12">SUM(I36:I37)</f>
        <v>5000</v>
      </c>
      <c r="J35" s="154">
        <f t="shared" si="12"/>
        <v>5000</v>
      </c>
      <c r="K35" s="154">
        <f t="shared" si="12"/>
        <v>0</v>
      </c>
      <c r="L35" s="320">
        <f t="shared" ref="L35:N35" si="13">SUM(L36:L37)</f>
        <v>5000</v>
      </c>
      <c r="M35" s="154">
        <f t="shared" si="13"/>
        <v>0</v>
      </c>
      <c r="N35" s="455">
        <f t="shared" si="13"/>
        <v>5000</v>
      </c>
      <c r="O35" s="532">
        <f t="shared" si="1"/>
        <v>100</v>
      </c>
    </row>
    <row r="36" spans="2:15" ht="12.95" customHeight="1" x14ac:dyDescent="0.2">
      <c r="B36" s="10"/>
      <c r="C36" s="11"/>
      <c r="D36" s="11"/>
      <c r="E36" s="11"/>
      <c r="F36" s="119">
        <v>821200</v>
      </c>
      <c r="G36" s="134"/>
      <c r="H36" s="22" t="s">
        <v>528</v>
      </c>
      <c r="I36" s="155">
        <v>0</v>
      </c>
      <c r="J36" s="155">
        <v>0</v>
      </c>
      <c r="K36" s="155">
        <v>0</v>
      </c>
      <c r="L36" s="251">
        <v>0</v>
      </c>
      <c r="M36" s="155">
        <v>0</v>
      </c>
      <c r="N36" s="481">
        <f t="shared" ref="N36:N37" si="14">SUM(L36:M36)</f>
        <v>0</v>
      </c>
      <c r="O36" s="533" t="str">
        <f t="shared" si="1"/>
        <v/>
      </c>
    </row>
    <row r="37" spans="2:15" ht="12.95" customHeight="1" x14ac:dyDescent="0.2">
      <c r="B37" s="10"/>
      <c r="C37" s="11"/>
      <c r="D37" s="11"/>
      <c r="E37" s="11"/>
      <c r="F37" s="119">
        <v>821300</v>
      </c>
      <c r="G37" s="134"/>
      <c r="H37" s="22" t="s">
        <v>529</v>
      </c>
      <c r="I37" s="155">
        <v>5000</v>
      </c>
      <c r="J37" s="155">
        <v>5000</v>
      </c>
      <c r="K37" s="155">
        <v>0</v>
      </c>
      <c r="L37" s="251">
        <v>5000</v>
      </c>
      <c r="M37" s="155">
        <v>0</v>
      </c>
      <c r="N37" s="481">
        <f t="shared" si="14"/>
        <v>5000</v>
      </c>
      <c r="O37" s="533">
        <f t="shared" si="1"/>
        <v>100</v>
      </c>
    </row>
    <row r="38" spans="2:15" ht="12.95" customHeight="1" x14ac:dyDescent="0.2">
      <c r="B38" s="10"/>
      <c r="C38" s="11"/>
      <c r="D38" s="11"/>
      <c r="E38" s="11"/>
      <c r="F38" s="119"/>
      <c r="G38" s="134"/>
      <c r="H38" s="22"/>
      <c r="I38" s="155"/>
      <c r="J38" s="155"/>
      <c r="K38" s="155"/>
      <c r="L38" s="251"/>
      <c r="M38" s="155"/>
      <c r="N38" s="457"/>
      <c r="O38" s="533" t="str">
        <f t="shared" si="1"/>
        <v/>
      </c>
    </row>
    <row r="39" spans="2:15" ht="12.95" customHeight="1" x14ac:dyDescent="0.25">
      <c r="B39" s="12"/>
      <c r="C39" s="8"/>
      <c r="D39" s="8"/>
      <c r="E39" s="8"/>
      <c r="F39" s="118"/>
      <c r="G39" s="133"/>
      <c r="H39" s="23" t="s">
        <v>540</v>
      </c>
      <c r="I39" s="266" t="s">
        <v>577</v>
      </c>
      <c r="J39" s="266" t="s">
        <v>577</v>
      </c>
      <c r="K39" s="266" t="s">
        <v>577</v>
      </c>
      <c r="L39" s="322" t="s">
        <v>639</v>
      </c>
      <c r="M39" s="154"/>
      <c r="N39" s="450" t="s">
        <v>639</v>
      </c>
      <c r="O39" s="533"/>
    </row>
    <row r="40" spans="2:15" ht="12.95" customHeight="1" x14ac:dyDescent="0.25">
      <c r="B40" s="12"/>
      <c r="C40" s="8"/>
      <c r="D40" s="8"/>
      <c r="E40" s="8"/>
      <c r="F40" s="118"/>
      <c r="G40" s="133"/>
      <c r="H40" s="8" t="s">
        <v>557</v>
      </c>
      <c r="I40" s="14">
        <f t="shared" ref="I40:N40" si="15">I8+I12+I15+I27+I31+I35</f>
        <v>2760180</v>
      </c>
      <c r="J40" s="14">
        <f t="shared" si="15"/>
        <v>2850180</v>
      </c>
      <c r="K40" s="14">
        <f t="shared" si="15"/>
        <v>508003</v>
      </c>
      <c r="L40" s="259">
        <f t="shared" si="15"/>
        <v>2916826</v>
      </c>
      <c r="M40" s="14">
        <f t="shared" si="15"/>
        <v>245934</v>
      </c>
      <c r="N40" s="455">
        <f t="shared" si="15"/>
        <v>3162760</v>
      </c>
      <c r="O40" s="532">
        <f>IF(J40=0,"",N40/J40*100)</f>
        <v>110.96702664393125</v>
      </c>
    </row>
    <row r="41" spans="2:15" ht="12.95" customHeight="1" x14ac:dyDescent="0.25">
      <c r="B41" s="12"/>
      <c r="C41" s="8"/>
      <c r="D41" s="8"/>
      <c r="E41" s="8"/>
      <c r="F41" s="118"/>
      <c r="G41" s="133"/>
      <c r="H41" s="8" t="s">
        <v>558</v>
      </c>
      <c r="I41" s="14">
        <f t="shared" ref="I41:J42" si="16">I40</f>
        <v>2760180</v>
      </c>
      <c r="J41" s="14">
        <f t="shared" si="16"/>
        <v>2850180</v>
      </c>
      <c r="K41" s="14">
        <f t="shared" ref="K41" si="17">K40</f>
        <v>508003</v>
      </c>
      <c r="L41" s="259">
        <f t="shared" ref="L41:N42" si="18">L40</f>
        <v>2916826</v>
      </c>
      <c r="M41" s="14">
        <f t="shared" si="18"/>
        <v>245934</v>
      </c>
      <c r="N41" s="455">
        <f t="shared" si="18"/>
        <v>3162760</v>
      </c>
      <c r="O41" s="532">
        <f>IF(J41=0,"",N41/J41*100)</f>
        <v>110.96702664393125</v>
      </c>
    </row>
    <row r="42" spans="2:15" s="1" customFormat="1" ht="12.95" customHeight="1" x14ac:dyDescent="0.25">
      <c r="B42" s="12"/>
      <c r="C42" s="8"/>
      <c r="D42" s="8"/>
      <c r="E42" s="8"/>
      <c r="F42" s="118"/>
      <c r="G42" s="133"/>
      <c r="H42" s="8" t="s">
        <v>559</v>
      </c>
      <c r="I42" s="14">
        <f t="shared" si="16"/>
        <v>2760180</v>
      </c>
      <c r="J42" s="14">
        <f t="shared" si="16"/>
        <v>2850180</v>
      </c>
      <c r="K42" s="14">
        <f t="shared" ref="K42" si="19">K41</f>
        <v>508003</v>
      </c>
      <c r="L42" s="259">
        <f t="shared" si="18"/>
        <v>2916826</v>
      </c>
      <c r="M42" s="14">
        <f t="shared" si="18"/>
        <v>245934</v>
      </c>
      <c r="N42" s="455">
        <f t="shared" si="18"/>
        <v>3162760</v>
      </c>
      <c r="O42" s="532">
        <f>IF(J42=0,"",N42/J42*100)</f>
        <v>110.96702664393125</v>
      </c>
    </row>
    <row r="43" spans="2:15" s="1" customFormat="1" ht="12.95" customHeight="1" thickBot="1" x14ac:dyDescent="0.25">
      <c r="B43" s="15"/>
      <c r="C43" s="16"/>
      <c r="D43" s="16"/>
      <c r="E43" s="16"/>
      <c r="F43" s="120"/>
      <c r="G43" s="135"/>
      <c r="H43" s="16"/>
      <c r="I43" s="29"/>
      <c r="J43" s="29"/>
      <c r="K43" s="29"/>
      <c r="L43" s="260"/>
      <c r="M43" s="29"/>
      <c r="N43" s="482"/>
      <c r="O43" s="534"/>
    </row>
    <row r="44" spans="2:15" s="1" customFormat="1" ht="12.95" customHeight="1" x14ac:dyDescent="0.2">
      <c r="B44" s="9"/>
      <c r="C44" s="9"/>
      <c r="D44" s="9"/>
      <c r="E44" s="9"/>
      <c r="F44" s="121"/>
      <c r="G44" s="136"/>
      <c r="H44" s="9"/>
      <c r="I44" s="45"/>
      <c r="J44" s="45"/>
      <c r="K44" s="45"/>
      <c r="L44" s="504"/>
      <c r="M44" s="45"/>
      <c r="N44" s="163"/>
      <c r="O44" s="145"/>
    </row>
    <row r="45" spans="2:15" s="1" customFormat="1" ht="12.95" customHeight="1" x14ac:dyDescent="0.2">
      <c r="B45" s="9"/>
      <c r="C45" s="9"/>
      <c r="D45" s="9"/>
      <c r="E45" s="9"/>
      <c r="F45" s="121"/>
      <c r="G45" s="136"/>
      <c r="H45" s="9"/>
      <c r="I45" s="45"/>
      <c r="J45" s="45"/>
      <c r="K45" s="45"/>
      <c r="L45" s="45"/>
      <c r="M45" s="45"/>
      <c r="N45" s="163"/>
      <c r="O45" s="145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2.95" customHeight="1" x14ac:dyDescent="0.2">
      <c r="F58" s="121"/>
      <c r="G58" s="136"/>
      <c r="N58" s="163"/>
    </row>
    <row r="59" spans="6:14" ht="12.95" customHeight="1" x14ac:dyDescent="0.2">
      <c r="F59" s="121"/>
      <c r="G59" s="136"/>
      <c r="N59" s="163"/>
    </row>
    <row r="60" spans="6:14" ht="12.95" customHeight="1" x14ac:dyDescent="0.2">
      <c r="F60" s="121"/>
      <c r="G60" s="136"/>
      <c r="N60" s="163"/>
    </row>
    <row r="61" spans="6:14" ht="12.95" customHeight="1" x14ac:dyDescent="0.2">
      <c r="F61" s="121"/>
      <c r="G61" s="136"/>
      <c r="N61" s="163"/>
    </row>
    <row r="62" spans="6:14" ht="12.95" customHeight="1" x14ac:dyDescent="0.2">
      <c r="F62" s="121"/>
      <c r="G62" s="136"/>
      <c r="N62" s="163"/>
    </row>
    <row r="63" spans="6:14" ht="17.100000000000001" customHeight="1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36"/>
      <c r="N72" s="163"/>
    </row>
    <row r="73" spans="6:14" ht="14.25" x14ac:dyDescent="0.2">
      <c r="F73" s="121"/>
      <c r="G73" s="136"/>
      <c r="N73" s="163"/>
    </row>
    <row r="74" spans="6:14" ht="14.25" x14ac:dyDescent="0.2">
      <c r="F74" s="121"/>
      <c r="G74" s="136"/>
      <c r="N74" s="163"/>
    </row>
    <row r="75" spans="6:14" ht="14.25" x14ac:dyDescent="0.2">
      <c r="F75" s="121"/>
      <c r="G75" s="136"/>
      <c r="N75" s="163"/>
    </row>
    <row r="76" spans="6:14" ht="14.25" x14ac:dyDescent="0.2">
      <c r="F76" s="121"/>
      <c r="G76" s="136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ht="14.25" x14ac:dyDescent="0.2">
      <c r="F89" s="121"/>
      <c r="G89" s="121"/>
      <c r="N89" s="163"/>
    </row>
    <row r="90" spans="6:14" ht="14.25" x14ac:dyDescent="0.2">
      <c r="F90" s="121"/>
      <c r="G90" s="121"/>
      <c r="N90" s="163"/>
    </row>
    <row r="91" spans="6:14" ht="14.25" x14ac:dyDescent="0.2">
      <c r="F91" s="121"/>
      <c r="G91" s="121"/>
      <c r="N91" s="163"/>
    </row>
    <row r="92" spans="6:14" ht="14.25" x14ac:dyDescent="0.2">
      <c r="F92" s="121"/>
      <c r="G92" s="121"/>
      <c r="N92" s="163"/>
    </row>
    <row r="93" spans="6:14" ht="14.25" x14ac:dyDescent="0.2">
      <c r="F93" s="121"/>
      <c r="G93" s="121"/>
      <c r="N93" s="163"/>
    </row>
    <row r="94" spans="6:14" x14ac:dyDescent="0.2">
      <c r="G94" s="121"/>
    </row>
    <row r="95" spans="6:14" x14ac:dyDescent="0.2">
      <c r="G95" s="121"/>
    </row>
    <row r="96" spans="6:14" x14ac:dyDescent="0.2">
      <c r="G96" s="121"/>
    </row>
    <row r="97" spans="7:7" x14ac:dyDescent="0.2">
      <c r="G97" s="121"/>
    </row>
    <row r="98" spans="7:7" x14ac:dyDescent="0.2">
      <c r="G98" s="121"/>
    </row>
    <row r="99" spans="7:7" x14ac:dyDescent="0.2">
      <c r="G99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9"/>
  <dimension ref="B1:S94"/>
  <sheetViews>
    <sheetView topLeftCell="G12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" width="11" style="9" bestFit="1" customWidth="1"/>
    <col min="17" max="16384" width="9.140625" style="9"/>
  </cols>
  <sheetData>
    <row r="1" spans="2:19" ht="13.5" thickBot="1" x14ac:dyDescent="0.25"/>
    <row r="2" spans="2:19" s="63" customFormat="1" ht="20.100000000000001" customHeight="1" thickTop="1" thickBot="1" x14ac:dyDescent="0.25">
      <c r="B2" s="638" t="s">
        <v>619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9" s="1" customFormat="1" ht="8.1" customHeight="1" thickTop="1" thickBot="1" x14ac:dyDescent="0.25">
      <c r="F3" s="2"/>
      <c r="G3" s="2"/>
      <c r="H3" s="641"/>
      <c r="I3" s="641"/>
      <c r="J3" s="105"/>
      <c r="K3" s="105"/>
      <c r="L3" s="157"/>
      <c r="M3" s="157"/>
      <c r="N3" s="157"/>
      <c r="O3" s="144"/>
      <c r="P3" s="158"/>
    </row>
    <row r="4" spans="2:19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1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9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62"/>
      <c r="K5" s="658"/>
      <c r="L5" s="262" t="s">
        <v>377</v>
      </c>
      <c r="M5" s="160" t="s">
        <v>378</v>
      </c>
      <c r="N5" s="448" t="s">
        <v>379</v>
      </c>
      <c r="O5" s="655"/>
    </row>
    <row r="6" spans="2:19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9" s="2" customFormat="1" ht="12.95" customHeight="1" x14ac:dyDescent="0.25">
      <c r="B7" s="6" t="s">
        <v>620</v>
      </c>
      <c r="C7" s="7" t="s">
        <v>554</v>
      </c>
      <c r="D7" s="7" t="s">
        <v>555</v>
      </c>
      <c r="E7" s="285" t="s">
        <v>621</v>
      </c>
      <c r="F7" s="5"/>
      <c r="G7" s="5"/>
      <c r="H7" s="5"/>
      <c r="I7" s="255"/>
      <c r="J7" s="255"/>
      <c r="K7" s="255"/>
      <c r="L7" s="4"/>
      <c r="M7" s="5"/>
      <c r="N7" s="479"/>
      <c r="O7" s="531"/>
    </row>
    <row r="8" spans="2:19" s="2" customFormat="1" ht="12.95" customHeight="1" x14ac:dyDescent="0.25">
      <c r="B8" s="6"/>
      <c r="C8" s="7"/>
      <c r="D8" s="7"/>
      <c r="E8" s="7"/>
      <c r="F8" s="118">
        <v>600000</v>
      </c>
      <c r="G8" s="133"/>
      <c r="H8" s="294" t="s">
        <v>383</v>
      </c>
      <c r="I8" s="266">
        <f t="shared" ref="I8:K8" si="0">I9</f>
        <v>15000</v>
      </c>
      <c r="J8" s="266">
        <f t="shared" si="0"/>
        <v>15000</v>
      </c>
      <c r="K8" s="266">
        <f t="shared" si="0"/>
        <v>8900</v>
      </c>
      <c r="L8" s="322">
        <f t="shared" ref="L8:N8" si="1">L9</f>
        <v>15000</v>
      </c>
      <c r="M8" s="266">
        <f t="shared" si="1"/>
        <v>0</v>
      </c>
      <c r="N8" s="450">
        <f t="shared" si="1"/>
        <v>15000</v>
      </c>
      <c r="O8" s="532">
        <f t="shared" ref="O8:O46" si="2">IF(J8=0,"",N8/J8*100)</f>
        <v>100</v>
      </c>
    </row>
    <row r="9" spans="2:19" s="2" customFormat="1" ht="12.95" customHeight="1" x14ac:dyDescent="0.2">
      <c r="B9" s="6"/>
      <c r="C9" s="7"/>
      <c r="D9" s="7"/>
      <c r="E9" s="7"/>
      <c r="F9" s="119">
        <v>600000</v>
      </c>
      <c r="G9" s="134"/>
      <c r="H9" s="295" t="s">
        <v>387</v>
      </c>
      <c r="I9" s="152">
        <v>15000</v>
      </c>
      <c r="J9" s="152">
        <v>15000</v>
      </c>
      <c r="K9" s="152">
        <v>8900</v>
      </c>
      <c r="L9" s="250">
        <v>15000</v>
      </c>
      <c r="M9" s="152">
        <v>0</v>
      </c>
      <c r="N9" s="457">
        <f>SUM(L9:M9)</f>
        <v>15000</v>
      </c>
      <c r="O9" s="533">
        <f t="shared" si="2"/>
        <v>100</v>
      </c>
    </row>
    <row r="10" spans="2:19" s="2" customFormat="1" ht="12.95" customHeight="1" x14ac:dyDescent="0.2">
      <c r="B10" s="6"/>
      <c r="C10" s="7"/>
      <c r="D10" s="7"/>
      <c r="E10" s="7"/>
      <c r="F10" s="118"/>
      <c r="G10" s="133"/>
      <c r="H10" s="255"/>
      <c r="I10" s="152"/>
      <c r="J10" s="152"/>
      <c r="K10" s="152"/>
      <c r="L10" s="250"/>
      <c r="M10" s="152"/>
      <c r="N10" s="457"/>
      <c r="O10" s="533" t="str">
        <f t="shared" si="2"/>
        <v/>
      </c>
    </row>
    <row r="11" spans="2:19" s="1" customFormat="1" ht="12.95" customHeight="1" x14ac:dyDescent="0.25">
      <c r="B11" s="12"/>
      <c r="C11" s="8"/>
      <c r="D11" s="8"/>
      <c r="E11" s="8"/>
      <c r="F11" s="118">
        <v>611000</v>
      </c>
      <c r="G11" s="133"/>
      <c r="H11" s="23" t="s">
        <v>388</v>
      </c>
      <c r="I11" s="154">
        <f t="shared" ref="I11:K11" si="3">SUM(I12:I13)</f>
        <v>643460</v>
      </c>
      <c r="J11" s="154">
        <f t="shared" si="3"/>
        <v>643460</v>
      </c>
      <c r="K11" s="154">
        <f t="shared" si="3"/>
        <v>305100</v>
      </c>
      <c r="L11" s="320">
        <f>SUM(L12:L13)</f>
        <v>652080</v>
      </c>
      <c r="M11" s="154">
        <f>SUM(M12:M13)</f>
        <v>0</v>
      </c>
      <c r="N11" s="480">
        <f>SUM(N12:N13)</f>
        <v>652080</v>
      </c>
      <c r="O11" s="532">
        <f t="shared" si="2"/>
        <v>101.33963261119573</v>
      </c>
    </row>
    <row r="12" spans="2:19" ht="12.95" customHeight="1" x14ac:dyDescent="0.2">
      <c r="B12" s="10"/>
      <c r="C12" s="11"/>
      <c r="D12" s="11"/>
      <c r="E12" s="11"/>
      <c r="F12" s="119">
        <v>611100</v>
      </c>
      <c r="G12" s="134"/>
      <c r="H12" s="22" t="s">
        <v>389</v>
      </c>
      <c r="I12" s="155">
        <v>539260</v>
      </c>
      <c r="J12" s="155">
        <v>539260</v>
      </c>
      <c r="K12" s="155">
        <v>257095</v>
      </c>
      <c r="L12" s="251">
        <f>532510+1000</f>
        <v>533510</v>
      </c>
      <c r="M12" s="155">
        <v>0</v>
      </c>
      <c r="N12" s="457">
        <f t="shared" ref="N12:N13" si="4">SUM(L12:M12)</f>
        <v>533510</v>
      </c>
      <c r="O12" s="533">
        <f t="shared" si="2"/>
        <v>98.933723992137374</v>
      </c>
    </row>
    <row r="13" spans="2:19" ht="12.95" customHeight="1" x14ac:dyDescent="0.2">
      <c r="B13" s="10"/>
      <c r="C13" s="11"/>
      <c r="D13" s="11"/>
      <c r="E13" s="11"/>
      <c r="F13" s="119">
        <v>611200</v>
      </c>
      <c r="G13" s="134"/>
      <c r="H13" s="22" t="s">
        <v>390</v>
      </c>
      <c r="I13" s="152">
        <v>104200</v>
      </c>
      <c r="J13" s="152">
        <v>104200</v>
      </c>
      <c r="K13" s="152">
        <v>48005</v>
      </c>
      <c r="L13" s="250">
        <f>103370+5*1400+1400+17*400</f>
        <v>118570</v>
      </c>
      <c r="M13" s="152">
        <v>0</v>
      </c>
      <c r="N13" s="457">
        <f t="shared" si="4"/>
        <v>118570</v>
      </c>
      <c r="O13" s="533">
        <f t="shared" si="2"/>
        <v>113.79078694817659</v>
      </c>
      <c r="S13" s="275"/>
    </row>
    <row r="14" spans="2:19" ht="12.95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81"/>
      <c r="O14" s="533" t="str">
        <f t="shared" si="2"/>
        <v/>
      </c>
    </row>
    <row r="15" spans="2:19" s="1" customFormat="1" ht="12.95" customHeight="1" x14ac:dyDescent="0.25">
      <c r="B15" s="12"/>
      <c r="C15" s="8"/>
      <c r="D15" s="8"/>
      <c r="E15" s="8"/>
      <c r="F15" s="118">
        <v>612000</v>
      </c>
      <c r="G15" s="133"/>
      <c r="H15" s="23" t="s">
        <v>394</v>
      </c>
      <c r="I15" s="154">
        <f t="shared" ref="I15:K15" si="5">I16+I17</f>
        <v>56630</v>
      </c>
      <c r="J15" s="154">
        <f t="shared" si="5"/>
        <v>56630</v>
      </c>
      <c r="K15" s="154">
        <f t="shared" si="5"/>
        <v>26995</v>
      </c>
      <c r="L15" s="320">
        <f t="shared" ref="L15:N15" si="6">L16+L17</f>
        <v>55790</v>
      </c>
      <c r="M15" s="154">
        <f t="shared" si="6"/>
        <v>0</v>
      </c>
      <c r="N15" s="480">
        <f t="shared" si="6"/>
        <v>55790</v>
      </c>
      <c r="O15" s="532">
        <f t="shared" si="2"/>
        <v>98.516687268232388</v>
      </c>
    </row>
    <row r="16" spans="2:19" ht="12.95" customHeight="1" x14ac:dyDescent="0.2">
      <c r="B16" s="10"/>
      <c r="C16" s="11"/>
      <c r="D16" s="11"/>
      <c r="E16" s="11"/>
      <c r="F16" s="119">
        <v>612100</v>
      </c>
      <c r="G16" s="134"/>
      <c r="H16" s="297" t="s">
        <v>395</v>
      </c>
      <c r="I16" s="152">
        <v>56630</v>
      </c>
      <c r="J16" s="152">
        <v>56630</v>
      </c>
      <c r="K16" s="152">
        <v>26995</v>
      </c>
      <c r="L16" s="250">
        <f>55490+300</f>
        <v>55790</v>
      </c>
      <c r="M16" s="152">
        <v>0</v>
      </c>
      <c r="N16" s="457">
        <f>SUM(L16:M16)</f>
        <v>55790</v>
      </c>
      <c r="O16" s="533">
        <f t="shared" si="2"/>
        <v>98.516687268232388</v>
      </c>
    </row>
    <row r="17" spans="2:16" ht="12.95" customHeight="1" x14ac:dyDescent="0.2">
      <c r="B17" s="10"/>
      <c r="C17" s="11"/>
      <c r="D17" s="11"/>
      <c r="E17" s="11"/>
      <c r="F17" s="119"/>
      <c r="G17" s="134"/>
      <c r="H17" s="22"/>
      <c r="I17" s="152"/>
      <c r="J17" s="152"/>
      <c r="K17" s="152"/>
      <c r="L17" s="250"/>
      <c r="M17" s="152"/>
      <c r="N17" s="457"/>
      <c r="O17" s="533" t="str">
        <f t="shared" si="2"/>
        <v/>
      </c>
    </row>
    <row r="18" spans="2:16" s="1" customFormat="1" ht="12.95" customHeight="1" x14ac:dyDescent="0.25">
      <c r="B18" s="12"/>
      <c r="C18" s="8"/>
      <c r="D18" s="8"/>
      <c r="E18" s="8"/>
      <c r="F18" s="118">
        <v>613000</v>
      </c>
      <c r="G18" s="133"/>
      <c r="H18" s="23" t="s">
        <v>400</v>
      </c>
      <c r="I18" s="154">
        <f t="shared" ref="I18:K18" si="7">SUM(I19:I28)</f>
        <v>220380</v>
      </c>
      <c r="J18" s="154">
        <f t="shared" si="7"/>
        <v>220380</v>
      </c>
      <c r="K18" s="154">
        <f t="shared" si="7"/>
        <v>46460</v>
      </c>
      <c r="L18" s="321">
        <f>SUM(L19:L28)</f>
        <v>162120</v>
      </c>
      <c r="M18" s="156">
        <f>SUM(M19:M28)</f>
        <v>0</v>
      </c>
      <c r="N18" s="455">
        <f>SUM(N19:N28)</f>
        <v>162120</v>
      </c>
      <c r="O18" s="532">
        <f t="shared" si="2"/>
        <v>73.563844268989925</v>
      </c>
    </row>
    <row r="19" spans="2:16" ht="12.95" customHeight="1" x14ac:dyDescent="0.2">
      <c r="B19" s="10"/>
      <c r="C19" s="11"/>
      <c r="D19" s="11"/>
      <c r="E19" s="11"/>
      <c r="F19" s="119">
        <v>613100</v>
      </c>
      <c r="G19" s="134"/>
      <c r="H19" s="22" t="s">
        <v>401</v>
      </c>
      <c r="I19" s="152">
        <v>7000</v>
      </c>
      <c r="J19" s="152">
        <v>7000</v>
      </c>
      <c r="K19" s="152">
        <v>1402</v>
      </c>
      <c r="L19" s="250">
        <v>6000</v>
      </c>
      <c r="M19" s="152">
        <v>0</v>
      </c>
      <c r="N19" s="457">
        <f t="shared" ref="N19:N28" si="8">SUM(L19:M19)</f>
        <v>6000</v>
      </c>
      <c r="O19" s="533">
        <f t="shared" si="2"/>
        <v>85.714285714285708</v>
      </c>
    </row>
    <row r="20" spans="2:16" ht="12.95" customHeight="1" x14ac:dyDescent="0.2">
      <c r="B20" s="10"/>
      <c r="C20" s="11"/>
      <c r="D20" s="11"/>
      <c r="E20" s="11"/>
      <c r="F20" s="119">
        <v>613200</v>
      </c>
      <c r="G20" s="134"/>
      <c r="H20" s="22" t="s">
        <v>402</v>
      </c>
      <c r="I20" s="152">
        <v>0</v>
      </c>
      <c r="J20" s="152">
        <v>0</v>
      </c>
      <c r="K20" s="152">
        <v>0</v>
      </c>
      <c r="L20" s="250">
        <v>0</v>
      </c>
      <c r="M20" s="152">
        <v>0</v>
      </c>
      <c r="N20" s="457">
        <f t="shared" si="8"/>
        <v>0</v>
      </c>
      <c r="O20" s="533" t="str">
        <f t="shared" si="2"/>
        <v/>
      </c>
    </row>
    <row r="21" spans="2:16" ht="12.95" customHeight="1" x14ac:dyDescent="0.2">
      <c r="B21" s="10"/>
      <c r="C21" s="11"/>
      <c r="D21" s="11"/>
      <c r="E21" s="11"/>
      <c r="F21" s="119">
        <v>613300</v>
      </c>
      <c r="G21" s="134"/>
      <c r="H21" s="22" t="s">
        <v>403</v>
      </c>
      <c r="I21" s="152">
        <v>9600</v>
      </c>
      <c r="J21" s="152">
        <v>9600</v>
      </c>
      <c r="K21" s="152">
        <v>4784</v>
      </c>
      <c r="L21" s="250">
        <v>9650</v>
      </c>
      <c r="M21" s="152">
        <v>0</v>
      </c>
      <c r="N21" s="457">
        <f t="shared" si="8"/>
        <v>9650</v>
      </c>
      <c r="O21" s="533">
        <f t="shared" si="2"/>
        <v>100.52083333333333</v>
      </c>
    </row>
    <row r="22" spans="2:16" ht="12.95" customHeight="1" x14ac:dyDescent="0.2">
      <c r="B22" s="10"/>
      <c r="C22" s="11"/>
      <c r="D22" s="11"/>
      <c r="E22" s="11"/>
      <c r="F22" s="119">
        <v>613400</v>
      </c>
      <c r="G22" s="134"/>
      <c r="H22" s="22" t="s">
        <v>404</v>
      </c>
      <c r="I22" s="152">
        <v>2700</v>
      </c>
      <c r="J22" s="152">
        <v>2700</v>
      </c>
      <c r="K22" s="152">
        <v>1225</v>
      </c>
      <c r="L22" s="250">
        <v>2700</v>
      </c>
      <c r="M22" s="152">
        <v>0</v>
      </c>
      <c r="N22" s="457">
        <f t="shared" si="8"/>
        <v>2700</v>
      </c>
      <c r="O22" s="533">
        <f t="shared" si="2"/>
        <v>100</v>
      </c>
    </row>
    <row r="23" spans="2:16" ht="12.95" customHeight="1" x14ac:dyDescent="0.2">
      <c r="B23" s="10"/>
      <c r="C23" s="11"/>
      <c r="D23" s="11"/>
      <c r="E23" s="11"/>
      <c r="F23" s="119">
        <v>613500</v>
      </c>
      <c r="G23" s="134"/>
      <c r="H23" s="22" t="s">
        <v>408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57">
        <f t="shared" si="8"/>
        <v>0</v>
      </c>
      <c r="O23" s="533" t="str">
        <f t="shared" si="2"/>
        <v/>
      </c>
    </row>
    <row r="24" spans="2:16" ht="12.95" customHeight="1" x14ac:dyDescent="0.2">
      <c r="B24" s="10"/>
      <c r="C24" s="11"/>
      <c r="D24" s="11"/>
      <c r="E24" s="11"/>
      <c r="F24" s="119">
        <v>613600</v>
      </c>
      <c r="G24" s="134"/>
      <c r="H24" s="22" t="s">
        <v>409</v>
      </c>
      <c r="I24" s="152">
        <v>0</v>
      </c>
      <c r="J24" s="152">
        <v>0</v>
      </c>
      <c r="K24" s="152">
        <v>0</v>
      </c>
      <c r="L24" s="250">
        <v>0</v>
      </c>
      <c r="M24" s="152">
        <v>0</v>
      </c>
      <c r="N24" s="457">
        <f t="shared" si="8"/>
        <v>0</v>
      </c>
      <c r="O24" s="533" t="str">
        <f t="shared" si="2"/>
        <v/>
      </c>
    </row>
    <row r="25" spans="2:16" ht="12.95" customHeight="1" x14ac:dyDescent="0.2">
      <c r="B25" s="10"/>
      <c r="C25" s="11"/>
      <c r="D25" s="11"/>
      <c r="E25" s="11"/>
      <c r="F25" s="119">
        <v>613700</v>
      </c>
      <c r="G25" s="134"/>
      <c r="H25" s="22" t="s">
        <v>410</v>
      </c>
      <c r="I25" s="155">
        <v>5000</v>
      </c>
      <c r="J25" s="155">
        <f>5000+3000</f>
        <v>8000</v>
      </c>
      <c r="K25" s="155">
        <v>6908</v>
      </c>
      <c r="L25" s="251">
        <v>8000</v>
      </c>
      <c r="M25" s="155">
        <v>0</v>
      </c>
      <c r="N25" s="580">
        <f t="shared" si="8"/>
        <v>8000</v>
      </c>
      <c r="O25" s="533">
        <f t="shared" si="2"/>
        <v>100</v>
      </c>
    </row>
    <row r="26" spans="2:16" ht="12.95" customHeight="1" x14ac:dyDescent="0.2">
      <c r="B26" s="10"/>
      <c r="C26" s="11"/>
      <c r="D26" s="11"/>
      <c r="E26" s="11"/>
      <c r="F26" s="119">
        <v>613800</v>
      </c>
      <c r="G26" s="134"/>
      <c r="H26" s="22" t="s">
        <v>414</v>
      </c>
      <c r="I26" s="152">
        <v>19680</v>
      </c>
      <c r="J26" s="152">
        <v>19680</v>
      </c>
      <c r="K26" s="152">
        <v>6154</v>
      </c>
      <c r="L26" s="250">
        <v>15210</v>
      </c>
      <c r="M26" s="152">
        <v>0</v>
      </c>
      <c r="N26" s="457">
        <f t="shared" si="8"/>
        <v>15210</v>
      </c>
      <c r="O26" s="533">
        <f t="shared" si="2"/>
        <v>77.286585365853654</v>
      </c>
    </row>
    <row r="27" spans="2:16" ht="12.95" customHeight="1" x14ac:dyDescent="0.2">
      <c r="B27" s="10"/>
      <c r="C27" s="11"/>
      <c r="D27" s="11"/>
      <c r="E27" s="11"/>
      <c r="F27" s="119">
        <v>613900</v>
      </c>
      <c r="G27" s="134"/>
      <c r="H27" s="22" t="s">
        <v>417</v>
      </c>
      <c r="I27" s="152">
        <v>25000</v>
      </c>
      <c r="J27" s="152">
        <v>25000</v>
      </c>
      <c r="K27" s="152">
        <v>7818</v>
      </c>
      <c r="L27" s="250">
        <v>21000</v>
      </c>
      <c r="M27" s="152">
        <v>0</v>
      </c>
      <c r="N27" s="457">
        <f t="shared" si="8"/>
        <v>21000</v>
      </c>
      <c r="O27" s="533">
        <f t="shared" si="2"/>
        <v>84</v>
      </c>
    </row>
    <row r="28" spans="2:16" ht="12.95" customHeight="1" x14ac:dyDescent="0.2">
      <c r="B28" s="10"/>
      <c r="C28" s="11"/>
      <c r="D28" s="11"/>
      <c r="E28" s="281"/>
      <c r="F28" s="124">
        <v>613900</v>
      </c>
      <c r="G28" s="139" t="s">
        <v>423</v>
      </c>
      <c r="H28" s="22" t="s">
        <v>622</v>
      </c>
      <c r="I28" s="152">
        <v>151400</v>
      </c>
      <c r="J28" s="152">
        <f>151400-3000</f>
        <v>148400</v>
      </c>
      <c r="K28" s="152">
        <v>18169</v>
      </c>
      <c r="L28" s="250">
        <v>99560</v>
      </c>
      <c r="M28" s="152">
        <v>0</v>
      </c>
      <c r="N28" s="457">
        <f t="shared" si="8"/>
        <v>99560</v>
      </c>
      <c r="O28" s="533">
        <f t="shared" si="2"/>
        <v>67.088948787061994</v>
      </c>
      <c r="P28" s="45"/>
    </row>
    <row r="29" spans="2:16" ht="8.25" customHeight="1" x14ac:dyDescent="0.2">
      <c r="B29" s="10"/>
      <c r="C29" s="11"/>
      <c r="D29" s="11"/>
      <c r="E29" s="281"/>
      <c r="F29" s="124"/>
      <c r="G29" s="139"/>
      <c r="H29" s="22"/>
      <c r="I29" s="152"/>
      <c r="J29" s="152"/>
      <c r="K29" s="152"/>
      <c r="L29" s="250"/>
      <c r="M29" s="152"/>
      <c r="N29" s="457"/>
      <c r="O29" s="533" t="str">
        <f t="shared" si="2"/>
        <v/>
      </c>
    </row>
    <row r="30" spans="2:16" s="1" customFormat="1" ht="12.95" customHeight="1" x14ac:dyDescent="0.25">
      <c r="B30" s="12"/>
      <c r="C30" s="8"/>
      <c r="D30" s="23"/>
      <c r="E30" s="23"/>
      <c r="F30" s="118">
        <v>614000</v>
      </c>
      <c r="G30" s="133"/>
      <c r="H30" s="23" t="s">
        <v>434</v>
      </c>
      <c r="I30" s="154">
        <f>SUM(I31:I33)</f>
        <v>870000</v>
      </c>
      <c r="J30" s="154">
        <f>SUM(J31:J33)</f>
        <v>870000</v>
      </c>
      <c r="K30" s="154">
        <f t="shared" ref="K30" si="9">SUM(K31:K33)</f>
        <v>25136</v>
      </c>
      <c r="L30" s="320">
        <f t="shared" ref="L30" si="10">SUM(L31:L33)</f>
        <v>491300</v>
      </c>
      <c r="M30" s="154">
        <f>SUM(M31:M33)</f>
        <v>510200</v>
      </c>
      <c r="N30" s="455">
        <f>SUM(N31:N33)</f>
        <v>1001500</v>
      </c>
      <c r="O30" s="532">
        <f t="shared" si="2"/>
        <v>115.11494252873564</v>
      </c>
    </row>
    <row r="31" spans="2:16" ht="12.95" customHeight="1" x14ac:dyDescent="0.2">
      <c r="B31" s="10"/>
      <c r="C31" s="11"/>
      <c r="D31" s="22"/>
      <c r="E31" s="22"/>
      <c r="F31" s="119">
        <v>614100</v>
      </c>
      <c r="G31" s="131" t="s">
        <v>440</v>
      </c>
      <c r="H31" s="340" t="s">
        <v>623</v>
      </c>
      <c r="I31" s="152">
        <v>800000</v>
      </c>
      <c r="J31" s="152">
        <v>800000</v>
      </c>
      <c r="K31" s="152">
        <v>0</v>
      </c>
      <c r="L31" s="250">
        <f>800000-510200</f>
        <v>289800</v>
      </c>
      <c r="M31" s="152">
        <v>510200</v>
      </c>
      <c r="N31" s="457">
        <f t="shared" ref="N31:N33" si="11">SUM(L31:M31)</f>
        <v>800000</v>
      </c>
      <c r="O31" s="533">
        <f t="shared" si="2"/>
        <v>100</v>
      </c>
      <c r="P31" s="275"/>
    </row>
    <row r="32" spans="2:16" ht="12.95" customHeight="1" x14ac:dyDescent="0.2">
      <c r="B32" s="10"/>
      <c r="C32" s="11"/>
      <c r="D32" s="22"/>
      <c r="E32" s="22"/>
      <c r="F32" s="147">
        <v>614800</v>
      </c>
      <c r="G32" s="140" t="s">
        <v>505</v>
      </c>
      <c r="H32" s="340" t="s">
        <v>624</v>
      </c>
      <c r="I32" s="152">
        <v>60000</v>
      </c>
      <c r="J32" s="152">
        <v>60000</v>
      </c>
      <c r="K32" s="152">
        <v>24921</v>
      </c>
      <c r="L32" s="250">
        <v>200000</v>
      </c>
      <c r="M32" s="152">
        <v>0</v>
      </c>
      <c r="N32" s="457">
        <f t="shared" si="11"/>
        <v>200000</v>
      </c>
      <c r="O32" s="533">
        <f t="shared" si="2"/>
        <v>333.33333333333337</v>
      </c>
    </row>
    <row r="33" spans="2:17" ht="24.75" customHeight="1" x14ac:dyDescent="0.2">
      <c r="B33" s="10"/>
      <c r="C33" s="11"/>
      <c r="D33" s="22"/>
      <c r="E33" s="22"/>
      <c r="F33" s="147">
        <v>614800</v>
      </c>
      <c r="G33" s="140" t="s">
        <v>507</v>
      </c>
      <c r="H33" s="576" t="s">
        <v>625</v>
      </c>
      <c r="I33" s="152">
        <v>10000</v>
      </c>
      <c r="J33" s="152">
        <v>10000</v>
      </c>
      <c r="K33" s="152">
        <v>215</v>
      </c>
      <c r="L33" s="250">
        <v>1500</v>
      </c>
      <c r="M33" s="152">
        <v>0</v>
      </c>
      <c r="N33" s="457">
        <f t="shared" si="11"/>
        <v>1500</v>
      </c>
      <c r="O33" s="533">
        <f t="shared" si="2"/>
        <v>15</v>
      </c>
    </row>
    <row r="34" spans="2:17" ht="9" customHeight="1" x14ac:dyDescent="0.2">
      <c r="B34" s="10"/>
      <c r="C34" s="11"/>
      <c r="D34" s="22"/>
      <c r="E34" s="282"/>
      <c r="F34" s="148"/>
      <c r="G34" s="141"/>
      <c r="H34" s="36"/>
      <c r="I34" s="248"/>
      <c r="J34" s="248"/>
      <c r="K34" s="248"/>
      <c r="L34" s="250"/>
      <c r="M34" s="152"/>
      <c r="N34" s="457"/>
      <c r="O34" s="533" t="str">
        <f t="shared" si="2"/>
        <v/>
      </c>
    </row>
    <row r="35" spans="2:17" ht="12.95" customHeight="1" x14ac:dyDescent="0.25">
      <c r="B35" s="10"/>
      <c r="C35" s="11"/>
      <c r="D35" s="11"/>
      <c r="E35" s="283"/>
      <c r="F35" s="126">
        <v>616000</v>
      </c>
      <c r="G35" s="142"/>
      <c r="H35" s="24" t="s">
        <v>626</v>
      </c>
      <c r="I35" s="247">
        <f>SUM(I36:I37)</f>
        <v>17790</v>
      </c>
      <c r="J35" s="247">
        <f>SUM(J36:J37)</f>
        <v>17790</v>
      </c>
      <c r="K35" s="247">
        <f t="shared" ref="K35" si="12">SUM(K36:K37)</f>
        <v>8567</v>
      </c>
      <c r="L35" s="253">
        <f t="shared" ref="L35" si="13">SUM(L36:L37)</f>
        <v>15510</v>
      </c>
      <c r="M35" s="151">
        <f>SUM(M36:M37)</f>
        <v>0</v>
      </c>
      <c r="N35" s="455">
        <f>SUM(N36:N37)</f>
        <v>15510</v>
      </c>
      <c r="O35" s="532">
        <f t="shared" si="2"/>
        <v>87.183811129848237</v>
      </c>
    </row>
    <row r="36" spans="2:17" ht="12.95" customHeight="1" x14ac:dyDescent="0.2">
      <c r="B36" s="10"/>
      <c r="C36" s="11"/>
      <c r="D36" s="11"/>
      <c r="E36" s="249"/>
      <c r="F36" s="125">
        <v>616200</v>
      </c>
      <c r="G36" s="131" t="s">
        <v>522</v>
      </c>
      <c r="H36" s="38" t="s">
        <v>523</v>
      </c>
      <c r="I36" s="248">
        <v>14330</v>
      </c>
      <c r="J36" s="248">
        <v>14330</v>
      </c>
      <c r="K36" s="248">
        <v>6839</v>
      </c>
      <c r="L36" s="250">
        <v>12910</v>
      </c>
      <c r="M36" s="152">
        <v>0</v>
      </c>
      <c r="N36" s="457">
        <f t="shared" ref="N36:N37" si="14">SUM(L36:M36)</f>
        <v>12910</v>
      </c>
      <c r="O36" s="533">
        <f t="shared" si="2"/>
        <v>90.090718771807403</v>
      </c>
    </row>
    <row r="37" spans="2:17" ht="12.95" customHeight="1" x14ac:dyDescent="0.2">
      <c r="B37" s="10"/>
      <c r="C37" s="11"/>
      <c r="D37" s="11"/>
      <c r="E37" s="249"/>
      <c r="F37" s="125">
        <v>616200</v>
      </c>
      <c r="G37" s="131" t="s">
        <v>524</v>
      </c>
      <c r="H37" s="38" t="s">
        <v>525</v>
      </c>
      <c r="I37" s="248">
        <v>3460</v>
      </c>
      <c r="J37" s="248">
        <v>3460</v>
      </c>
      <c r="K37" s="248">
        <v>1728</v>
      </c>
      <c r="L37" s="250">
        <v>2600</v>
      </c>
      <c r="M37" s="152">
        <v>0</v>
      </c>
      <c r="N37" s="457">
        <f t="shared" si="14"/>
        <v>2600</v>
      </c>
      <c r="O37" s="533">
        <f t="shared" si="2"/>
        <v>75.144508670520224</v>
      </c>
    </row>
    <row r="38" spans="2:17" ht="12.95" customHeight="1" x14ac:dyDescent="0.25">
      <c r="B38" s="10"/>
      <c r="C38" s="11"/>
      <c r="D38" s="11"/>
      <c r="E38" s="11"/>
      <c r="F38" s="119"/>
      <c r="G38" s="134"/>
      <c r="H38" s="11"/>
      <c r="I38" s="247"/>
      <c r="J38" s="247"/>
      <c r="K38" s="247"/>
      <c r="L38" s="320"/>
      <c r="M38" s="154"/>
      <c r="N38" s="455"/>
      <c r="O38" s="533" t="str">
        <f t="shared" si="2"/>
        <v/>
      </c>
    </row>
    <row r="39" spans="2:17" ht="12.95" customHeight="1" x14ac:dyDescent="0.25">
      <c r="B39" s="12"/>
      <c r="C39" s="8"/>
      <c r="D39" s="8"/>
      <c r="E39" s="8"/>
      <c r="F39" s="118">
        <v>821000</v>
      </c>
      <c r="G39" s="133"/>
      <c r="H39" s="8" t="s">
        <v>526</v>
      </c>
      <c r="I39" s="247">
        <f>SUM(I40:I41)</f>
        <v>15000</v>
      </c>
      <c r="J39" s="247">
        <f>SUM(J40:J41)</f>
        <v>15000</v>
      </c>
      <c r="K39" s="247">
        <f t="shared" ref="K39" si="15">SUM(K40:K41)</f>
        <v>6600</v>
      </c>
      <c r="L39" s="320">
        <f t="shared" ref="L39" si="16">SUM(L40:L41)</f>
        <v>15000</v>
      </c>
      <c r="M39" s="154">
        <f>SUM(M40:M41)</f>
        <v>0</v>
      </c>
      <c r="N39" s="455">
        <f>SUM(N40:N41)</f>
        <v>15000</v>
      </c>
      <c r="O39" s="532">
        <f t="shared" si="2"/>
        <v>100</v>
      </c>
    </row>
    <row r="40" spans="2:17" ht="12.95" customHeight="1" x14ac:dyDescent="0.2">
      <c r="B40" s="10"/>
      <c r="C40" s="11"/>
      <c r="D40" s="11"/>
      <c r="E40" s="11"/>
      <c r="F40" s="119">
        <v>821200</v>
      </c>
      <c r="G40" s="134"/>
      <c r="H40" s="11" t="s">
        <v>528</v>
      </c>
      <c r="I40" s="248">
        <v>0</v>
      </c>
      <c r="J40" s="248">
        <v>0</v>
      </c>
      <c r="K40" s="248">
        <v>0</v>
      </c>
      <c r="L40" s="251">
        <v>0</v>
      </c>
      <c r="M40" s="155">
        <v>0</v>
      </c>
      <c r="N40" s="457">
        <f t="shared" ref="N40:N41" si="17">SUM(L40:M40)</f>
        <v>0</v>
      </c>
      <c r="O40" s="533" t="str">
        <f t="shared" si="2"/>
        <v/>
      </c>
    </row>
    <row r="41" spans="2:17" s="1" customFormat="1" ht="12.95" customHeight="1" x14ac:dyDescent="0.2">
      <c r="B41" s="10"/>
      <c r="C41" s="11"/>
      <c r="D41" s="11"/>
      <c r="E41" s="11"/>
      <c r="F41" s="119">
        <v>821300</v>
      </c>
      <c r="G41" s="134"/>
      <c r="H41" s="11" t="s">
        <v>529</v>
      </c>
      <c r="I41" s="248">
        <v>15000</v>
      </c>
      <c r="J41" s="248">
        <v>15000</v>
      </c>
      <c r="K41" s="248">
        <v>6600</v>
      </c>
      <c r="L41" s="251">
        <v>15000</v>
      </c>
      <c r="M41" s="155">
        <v>0</v>
      </c>
      <c r="N41" s="457">
        <f t="shared" si="17"/>
        <v>15000</v>
      </c>
      <c r="O41" s="533">
        <f t="shared" si="2"/>
        <v>100</v>
      </c>
    </row>
    <row r="42" spans="2:17" ht="12.95" customHeight="1" x14ac:dyDescent="0.2">
      <c r="B42" s="10"/>
      <c r="C42" s="11"/>
      <c r="D42" s="11"/>
      <c r="E42" s="11"/>
      <c r="F42" s="119"/>
      <c r="G42" s="134"/>
      <c r="H42" s="11"/>
      <c r="I42" s="248"/>
      <c r="J42" s="248"/>
      <c r="K42" s="248"/>
      <c r="L42" s="250"/>
      <c r="M42" s="152"/>
      <c r="N42" s="457"/>
      <c r="O42" s="533" t="str">
        <f t="shared" si="2"/>
        <v/>
      </c>
    </row>
    <row r="43" spans="2:17" ht="12.95" customHeight="1" x14ac:dyDescent="0.25">
      <c r="B43" s="12"/>
      <c r="C43" s="8"/>
      <c r="D43" s="8"/>
      <c r="E43" s="8"/>
      <c r="F43" s="118">
        <v>823000</v>
      </c>
      <c r="G43" s="133"/>
      <c r="H43" s="8" t="s">
        <v>627</v>
      </c>
      <c r="I43" s="247">
        <f>SUM(I44:I45)</f>
        <v>518870</v>
      </c>
      <c r="J43" s="247">
        <f>SUM(J44:J45)</f>
        <v>518870</v>
      </c>
      <c r="K43" s="247">
        <f t="shared" ref="K43" si="18">SUM(K44:K45)</f>
        <v>256477</v>
      </c>
      <c r="L43" s="320">
        <f t="shared" ref="L43" si="19">SUM(L44:L45)</f>
        <v>510020</v>
      </c>
      <c r="M43" s="154">
        <f>SUM(M44:M45)</f>
        <v>0</v>
      </c>
      <c r="N43" s="455">
        <f>SUM(N44:N45)</f>
        <v>510020</v>
      </c>
      <c r="O43" s="532">
        <f t="shared" si="2"/>
        <v>98.294370458881801</v>
      </c>
    </row>
    <row r="44" spans="2:17" ht="12.95" customHeight="1" x14ac:dyDescent="0.2">
      <c r="B44" s="10"/>
      <c r="C44" s="11"/>
      <c r="D44" s="11"/>
      <c r="E44" s="11"/>
      <c r="F44" s="119">
        <v>823200</v>
      </c>
      <c r="G44" s="134" t="s">
        <v>522</v>
      </c>
      <c r="H44" s="271" t="s">
        <v>628</v>
      </c>
      <c r="I44" s="248">
        <v>88580</v>
      </c>
      <c r="J44" s="248">
        <v>88580</v>
      </c>
      <c r="K44" s="248">
        <v>41336</v>
      </c>
      <c r="L44" s="251">
        <v>79730</v>
      </c>
      <c r="M44" s="155">
        <v>0</v>
      </c>
      <c r="N44" s="457">
        <f t="shared" ref="N44:N45" si="20">SUM(L44:M44)</f>
        <v>79730</v>
      </c>
      <c r="O44" s="533">
        <f t="shared" si="2"/>
        <v>90.009031384059611</v>
      </c>
    </row>
    <row r="45" spans="2:17" ht="12.95" customHeight="1" x14ac:dyDescent="0.2">
      <c r="B45" s="10"/>
      <c r="C45" s="11"/>
      <c r="D45" s="11"/>
      <c r="E45" s="11"/>
      <c r="F45" s="119">
        <v>823200</v>
      </c>
      <c r="G45" s="134" t="s">
        <v>524</v>
      </c>
      <c r="H45" s="271" t="s">
        <v>629</v>
      </c>
      <c r="I45" s="248">
        <v>430290</v>
      </c>
      <c r="J45" s="248">
        <v>430290</v>
      </c>
      <c r="K45" s="248">
        <v>215141</v>
      </c>
      <c r="L45" s="251">
        <v>430290</v>
      </c>
      <c r="M45" s="155">
        <v>0</v>
      </c>
      <c r="N45" s="457">
        <f t="shared" si="20"/>
        <v>430290</v>
      </c>
      <c r="O45" s="533">
        <f t="shared" si="2"/>
        <v>100</v>
      </c>
    </row>
    <row r="46" spans="2:17" ht="8.25" customHeight="1" x14ac:dyDescent="0.2">
      <c r="B46" s="10"/>
      <c r="C46" s="11"/>
      <c r="D46" s="11"/>
      <c r="E46" s="11"/>
      <c r="F46" s="119"/>
      <c r="G46" s="134"/>
      <c r="H46" s="11"/>
      <c r="I46" s="254"/>
      <c r="J46" s="254"/>
      <c r="K46" s="254"/>
      <c r="L46" s="300"/>
      <c r="M46" s="271"/>
      <c r="N46" s="488"/>
      <c r="O46" s="533" t="str">
        <f t="shared" si="2"/>
        <v/>
      </c>
    </row>
    <row r="47" spans="2:17" ht="12.95" customHeight="1" x14ac:dyDescent="0.25">
      <c r="B47" s="12"/>
      <c r="C47" s="8"/>
      <c r="D47" s="8"/>
      <c r="E47" s="8"/>
      <c r="F47" s="118"/>
      <c r="G47" s="133"/>
      <c r="H47" s="8" t="s">
        <v>540</v>
      </c>
      <c r="I47" s="313" t="s">
        <v>630</v>
      </c>
      <c r="J47" s="313" t="s">
        <v>630</v>
      </c>
      <c r="K47" s="313">
        <v>17</v>
      </c>
      <c r="L47" s="506">
        <v>17</v>
      </c>
      <c r="M47" s="324"/>
      <c r="N47" s="494">
        <v>17</v>
      </c>
      <c r="O47" s="533"/>
    </row>
    <row r="48" spans="2:17" ht="12.95" customHeight="1" x14ac:dyDescent="0.25">
      <c r="B48" s="12"/>
      <c r="C48" s="8"/>
      <c r="D48" s="8"/>
      <c r="E48" s="8"/>
      <c r="F48" s="118"/>
      <c r="G48" s="133"/>
      <c r="H48" s="8" t="s">
        <v>557</v>
      </c>
      <c r="I48" s="256">
        <f t="shared" ref="I48:N48" si="21">I8+I11+I15+I18+I30+I35+I39+I43</f>
        <v>2357130</v>
      </c>
      <c r="J48" s="256">
        <f t="shared" si="21"/>
        <v>2357130</v>
      </c>
      <c r="K48" s="256">
        <f t="shared" si="21"/>
        <v>684235</v>
      </c>
      <c r="L48" s="259">
        <f t="shared" si="21"/>
        <v>1916820</v>
      </c>
      <c r="M48" s="14">
        <f t="shared" si="21"/>
        <v>510200</v>
      </c>
      <c r="N48" s="455">
        <f t="shared" si="21"/>
        <v>2427020</v>
      </c>
      <c r="O48" s="532">
        <f>IF(J48=0,"",N48/J48*100)</f>
        <v>102.96504647601108</v>
      </c>
      <c r="Q48" s="45"/>
    </row>
    <row r="49" spans="2:15" s="1" customFormat="1" ht="12.95" customHeight="1" x14ac:dyDescent="0.25">
      <c r="B49" s="12"/>
      <c r="C49" s="8"/>
      <c r="D49" s="8"/>
      <c r="E49" s="8"/>
      <c r="F49" s="118"/>
      <c r="G49" s="133"/>
      <c r="H49" s="8" t="s">
        <v>558</v>
      </c>
      <c r="I49" s="256">
        <f t="shared" ref="I49:J50" si="22">I48</f>
        <v>2357130</v>
      </c>
      <c r="J49" s="256">
        <f t="shared" si="22"/>
        <v>2357130</v>
      </c>
      <c r="K49" s="256">
        <f t="shared" ref="K49" si="23">K48</f>
        <v>684235</v>
      </c>
      <c r="L49" s="259">
        <f t="shared" ref="L49:N50" si="24">L48</f>
        <v>1916820</v>
      </c>
      <c r="M49" s="14">
        <f t="shared" si="24"/>
        <v>510200</v>
      </c>
      <c r="N49" s="455">
        <f t="shared" si="24"/>
        <v>2427020</v>
      </c>
      <c r="O49" s="532">
        <f>IF(J49=0,"",N49/J49*100)</f>
        <v>102.96504647601108</v>
      </c>
    </row>
    <row r="50" spans="2:15" s="1" customFormat="1" ht="12.95" customHeight="1" x14ac:dyDescent="0.25">
      <c r="B50" s="12"/>
      <c r="C50" s="8"/>
      <c r="D50" s="8"/>
      <c r="E50" s="8"/>
      <c r="F50" s="118"/>
      <c r="G50" s="133"/>
      <c r="H50" s="8" t="s">
        <v>559</v>
      </c>
      <c r="I50" s="256">
        <f t="shared" si="22"/>
        <v>2357130</v>
      </c>
      <c r="J50" s="256">
        <f t="shared" si="22"/>
        <v>2357130</v>
      </c>
      <c r="K50" s="256">
        <f t="shared" ref="K50" si="25">K49</f>
        <v>684235</v>
      </c>
      <c r="L50" s="259">
        <f t="shared" si="24"/>
        <v>1916820</v>
      </c>
      <c r="M50" s="14">
        <f t="shared" si="24"/>
        <v>510200</v>
      </c>
      <c r="N50" s="455">
        <f t="shared" si="24"/>
        <v>2427020</v>
      </c>
      <c r="O50" s="532">
        <f>IF(J50=0,"",N50/J50*100)</f>
        <v>102.96504647601108</v>
      </c>
    </row>
    <row r="51" spans="2:15" s="1" customFormat="1" ht="6.75" customHeight="1" thickBot="1" x14ac:dyDescent="0.25">
      <c r="B51" s="15"/>
      <c r="C51" s="16"/>
      <c r="D51" s="16"/>
      <c r="E51" s="16"/>
      <c r="F51" s="120"/>
      <c r="G51" s="135"/>
      <c r="H51" s="16"/>
      <c r="I51" s="16"/>
      <c r="J51" s="25"/>
      <c r="K51" s="25"/>
      <c r="L51" s="15"/>
      <c r="M51" s="16"/>
      <c r="N51" s="475"/>
      <c r="O51" s="534"/>
    </row>
    <row r="52" spans="2:15" s="1" customFormat="1" ht="12.95" customHeight="1" x14ac:dyDescent="0.2">
      <c r="B52" s="9"/>
      <c r="C52" s="9"/>
      <c r="D52" s="9"/>
      <c r="E52" s="9"/>
      <c r="F52" s="121"/>
      <c r="G52" s="136"/>
      <c r="H52" s="9"/>
      <c r="I52" s="9"/>
      <c r="J52" s="9"/>
      <c r="K52" s="9"/>
      <c r="L52" s="500"/>
      <c r="M52" s="9"/>
      <c r="N52" s="162"/>
      <c r="O52" s="145"/>
    </row>
    <row r="53" spans="2:15" ht="12.95" customHeight="1" x14ac:dyDescent="0.2">
      <c r="F53" s="121"/>
      <c r="G53" s="136"/>
      <c r="L53" s="45"/>
      <c r="N53" s="162"/>
    </row>
    <row r="54" spans="2:15" ht="12.95" customHeight="1" x14ac:dyDescent="0.2">
      <c r="F54" s="121"/>
      <c r="G54" s="136"/>
      <c r="N54" s="162"/>
    </row>
    <row r="55" spans="2:15" ht="12.95" customHeight="1" x14ac:dyDescent="0.2">
      <c r="F55" s="121"/>
      <c r="G55" s="136"/>
      <c r="N55" s="162"/>
    </row>
    <row r="56" spans="2:15" ht="12.95" customHeight="1" x14ac:dyDescent="0.2">
      <c r="F56" s="121"/>
      <c r="G56" s="136"/>
      <c r="N56" s="162"/>
    </row>
    <row r="57" spans="2:15" ht="12.95" customHeight="1" x14ac:dyDescent="0.2">
      <c r="F57" s="121"/>
      <c r="G57" s="136"/>
      <c r="N57" s="162"/>
    </row>
    <row r="58" spans="2:15" ht="17.100000000000001" customHeight="1" x14ac:dyDescent="0.2">
      <c r="F58" s="121"/>
      <c r="G58" s="136"/>
      <c r="N58" s="162"/>
    </row>
    <row r="59" spans="2:15" ht="14.25" x14ac:dyDescent="0.2">
      <c r="F59" s="121"/>
      <c r="G59" s="136"/>
      <c r="N59" s="162"/>
    </row>
    <row r="60" spans="2:15" ht="14.25" x14ac:dyDescent="0.2">
      <c r="F60" s="121"/>
      <c r="G60" s="136"/>
      <c r="N60" s="162"/>
    </row>
    <row r="61" spans="2:15" ht="14.25" x14ac:dyDescent="0.2">
      <c r="F61" s="121"/>
      <c r="G61" s="136"/>
      <c r="N61" s="162"/>
    </row>
    <row r="62" spans="2:15" ht="14.25" x14ac:dyDescent="0.2">
      <c r="F62" s="121"/>
      <c r="G62" s="136"/>
      <c r="N62" s="162"/>
    </row>
    <row r="63" spans="2:15" ht="14.25" x14ac:dyDescent="0.2">
      <c r="F63" s="121"/>
      <c r="G63" s="136"/>
      <c r="N63" s="162"/>
    </row>
    <row r="64" spans="2:15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0"/>
  <dimension ref="B1:Q94"/>
  <sheetViews>
    <sheetView topLeftCell="G1" zoomScaleNormal="100" zoomScaleSheetLayoutView="13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631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632</v>
      </c>
      <c r="C7" s="7" t="s">
        <v>554</v>
      </c>
      <c r="D7" s="7" t="s">
        <v>555</v>
      </c>
      <c r="E7" s="285" t="s">
        <v>633</v>
      </c>
      <c r="F7" s="5"/>
      <c r="G7" s="5"/>
      <c r="H7" s="5"/>
      <c r="I7" s="5"/>
      <c r="J7" s="5"/>
      <c r="K7" s="5"/>
      <c r="L7" s="4"/>
      <c r="M7" s="5"/>
      <c r="N7" s="479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387060</v>
      </c>
      <c r="J8" s="154">
        <f t="shared" si="0"/>
        <v>387060</v>
      </c>
      <c r="K8" s="154">
        <f t="shared" si="0"/>
        <v>204459</v>
      </c>
      <c r="L8" s="320">
        <f>SUM(L9:L11)</f>
        <v>423110</v>
      </c>
      <c r="M8" s="154">
        <f>SUM(M9:M11)</f>
        <v>0</v>
      </c>
      <c r="N8" s="480">
        <f>SUM(N9:N11)</f>
        <v>423110</v>
      </c>
      <c r="O8" s="532">
        <f t="shared" ref="O8:O35" si="1">IF(J8=0,"",N8/J8*100)</f>
        <v>109.31380147780705</v>
      </c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334980</v>
      </c>
      <c r="J9" s="152">
        <v>334980</v>
      </c>
      <c r="K9" s="152">
        <v>175385</v>
      </c>
      <c r="L9" s="250">
        <f>356100+800+400</f>
        <v>357300</v>
      </c>
      <c r="M9" s="152">
        <v>0</v>
      </c>
      <c r="N9" s="481">
        <f>SUM(L9:M9)</f>
        <v>357300</v>
      </c>
      <c r="O9" s="533">
        <f t="shared" si="1"/>
        <v>106.66308436324556</v>
      </c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52080</v>
      </c>
      <c r="J10" s="152">
        <v>52080</v>
      </c>
      <c r="K10" s="152">
        <v>29074</v>
      </c>
      <c r="L10" s="250">
        <f>59610+1400+400+11*400</f>
        <v>65810</v>
      </c>
      <c r="M10" s="152">
        <v>0</v>
      </c>
      <c r="N10" s="481">
        <f t="shared" ref="N10" si="2">SUM(L10:M10)</f>
        <v>65810</v>
      </c>
      <c r="O10" s="533">
        <f t="shared" si="1"/>
        <v>126.36328725038402</v>
      </c>
    </row>
    <row r="11" spans="2:17" ht="12.95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35330</v>
      </c>
      <c r="J12" s="154">
        <f t="shared" si="3"/>
        <v>35330</v>
      </c>
      <c r="K12" s="154">
        <f t="shared" si="3"/>
        <v>18415</v>
      </c>
      <c r="L12" s="320">
        <f t="shared" ref="L12:N12" si="4">L13</f>
        <v>37700</v>
      </c>
      <c r="M12" s="154">
        <f t="shared" si="4"/>
        <v>0</v>
      </c>
      <c r="N12" s="480">
        <f t="shared" si="4"/>
        <v>37700</v>
      </c>
      <c r="O12" s="532">
        <f t="shared" si="1"/>
        <v>106.70818001698272</v>
      </c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35330</v>
      </c>
      <c r="J13" s="152">
        <v>35330</v>
      </c>
      <c r="K13" s="152">
        <v>18415</v>
      </c>
      <c r="L13" s="250">
        <f>37420+220+60</f>
        <v>37700</v>
      </c>
      <c r="M13" s="152">
        <v>0</v>
      </c>
      <c r="N13" s="481">
        <f>SUM(L13:M13)</f>
        <v>37700</v>
      </c>
      <c r="O13" s="533">
        <f t="shared" si="1"/>
        <v>106.70818001698272</v>
      </c>
    </row>
    <row r="14" spans="2:17" ht="12.95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57"/>
      <c r="O14" s="533" t="str">
        <f t="shared" si="1"/>
        <v/>
      </c>
    </row>
    <row r="15" spans="2:17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94500</v>
      </c>
      <c r="J15" s="156">
        <f t="shared" si="5"/>
        <v>94500</v>
      </c>
      <c r="K15" s="156">
        <f t="shared" si="5"/>
        <v>42454</v>
      </c>
      <c r="L15" s="321">
        <f>SUM(L16:L24)</f>
        <v>91500</v>
      </c>
      <c r="M15" s="156">
        <f>SUM(M16:M24)</f>
        <v>0</v>
      </c>
      <c r="N15" s="455">
        <f>SUM(N16:N24)</f>
        <v>91500</v>
      </c>
      <c r="O15" s="532">
        <f t="shared" si="1"/>
        <v>96.825396825396822</v>
      </c>
      <c r="Q15" s="46"/>
    </row>
    <row r="16" spans="2:17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3500</v>
      </c>
      <c r="J16" s="152">
        <v>3500</v>
      </c>
      <c r="K16" s="152">
        <v>629</v>
      </c>
      <c r="L16" s="250">
        <v>3500</v>
      </c>
      <c r="M16" s="152">
        <v>0</v>
      </c>
      <c r="N16" s="481">
        <f t="shared" ref="N16:N24" si="6">SUM(L16:M16)</f>
        <v>3500</v>
      </c>
      <c r="O16" s="533">
        <f t="shared" si="1"/>
        <v>100</v>
      </c>
    </row>
    <row r="17" spans="2:16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0</v>
      </c>
      <c r="J17" s="152">
        <v>0</v>
      </c>
      <c r="K17" s="152">
        <v>0</v>
      </c>
      <c r="L17" s="250">
        <v>0</v>
      </c>
      <c r="M17" s="152">
        <v>0</v>
      </c>
      <c r="N17" s="481">
        <f t="shared" si="6"/>
        <v>0</v>
      </c>
      <c r="O17" s="533" t="str">
        <f t="shared" si="1"/>
        <v/>
      </c>
    </row>
    <row r="18" spans="2:16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19000</v>
      </c>
      <c r="J18" s="152">
        <v>19000</v>
      </c>
      <c r="K18" s="152">
        <v>6772</v>
      </c>
      <c r="L18" s="250">
        <v>16000</v>
      </c>
      <c r="M18" s="152">
        <v>0</v>
      </c>
      <c r="N18" s="481">
        <f t="shared" si="6"/>
        <v>16000</v>
      </c>
      <c r="O18" s="533">
        <f t="shared" si="1"/>
        <v>84.210526315789465</v>
      </c>
    </row>
    <row r="19" spans="2:16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1000</v>
      </c>
      <c r="J19" s="152">
        <v>1000</v>
      </c>
      <c r="K19" s="152">
        <v>392</v>
      </c>
      <c r="L19" s="250">
        <v>1000</v>
      </c>
      <c r="M19" s="152">
        <v>0</v>
      </c>
      <c r="N19" s="481">
        <f t="shared" si="6"/>
        <v>1000</v>
      </c>
      <c r="O19" s="533">
        <f t="shared" si="1"/>
        <v>100</v>
      </c>
    </row>
    <row r="20" spans="2:16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0</v>
      </c>
      <c r="J20" s="152">
        <v>0</v>
      </c>
      <c r="K20" s="152">
        <v>0</v>
      </c>
      <c r="L20" s="250">
        <v>0</v>
      </c>
      <c r="M20" s="152">
        <v>0</v>
      </c>
      <c r="N20" s="481">
        <f t="shared" si="6"/>
        <v>0</v>
      </c>
      <c r="O20" s="533" t="str">
        <f t="shared" si="1"/>
        <v/>
      </c>
    </row>
    <row r="21" spans="2:16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6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1000</v>
      </c>
      <c r="J22" s="152">
        <v>1000</v>
      </c>
      <c r="K22" s="152">
        <v>828</v>
      </c>
      <c r="L22" s="250">
        <v>1000</v>
      </c>
      <c r="M22" s="152">
        <v>0</v>
      </c>
      <c r="N22" s="481">
        <f t="shared" si="6"/>
        <v>1000</v>
      </c>
      <c r="O22" s="533">
        <f t="shared" si="1"/>
        <v>100</v>
      </c>
    </row>
    <row r="23" spans="2:16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6"/>
        <v>0</v>
      </c>
      <c r="O23" s="533" t="str">
        <f t="shared" si="1"/>
        <v/>
      </c>
    </row>
    <row r="24" spans="2:16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70000</v>
      </c>
      <c r="J24" s="155">
        <v>70000</v>
      </c>
      <c r="K24" s="155">
        <v>33833</v>
      </c>
      <c r="L24" s="251">
        <v>70000</v>
      </c>
      <c r="M24" s="155">
        <v>0</v>
      </c>
      <c r="N24" s="481">
        <f t="shared" si="6"/>
        <v>70000</v>
      </c>
      <c r="O24" s="533">
        <f t="shared" si="1"/>
        <v>100</v>
      </c>
    </row>
    <row r="25" spans="2:16" ht="12.95" customHeight="1" x14ac:dyDescent="0.2">
      <c r="B25" s="10"/>
      <c r="C25" s="11"/>
      <c r="D25" s="11"/>
      <c r="E25" s="11"/>
      <c r="F25" s="119"/>
      <c r="G25" s="134"/>
      <c r="H25" s="22"/>
      <c r="I25" s="154"/>
      <c r="J25" s="154"/>
      <c r="K25" s="154"/>
      <c r="L25" s="320"/>
      <c r="M25" s="154"/>
      <c r="N25" s="580"/>
      <c r="O25" s="533" t="str">
        <f t="shared" si="1"/>
        <v/>
      </c>
    </row>
    <row r="26" spans="2:16" s="1" customFormat="1" ht="12.95" customHeight="1" x14ac:dyDescent="0.25">
      <c r="B26" s="12"/>
      <c r="C26" s="8"/>
      <c r="D26" s="8"/>
      <c r="E26" s="8"/>
      <c r="F26" s="118">
        <v>614000</v>
      </c>
      <c r="G26" s="133"/>
      <c r="H26" s="23" t="s">
        <v>434</v>
      </c>
      <c r="I26" s="154">
        <f t="shared" ref="I26:K26" si="7">SUM(I27:I30)</f>
        <v>5063000</v>
      </c>
      <c r="J26" s="154">
        <f t="shared" si="7"/>
        <v>5063000</v>
      </c>
      <c r="K26" s="154">
        <f t="shared" si="7"/>
        <v>2139737</v>
      </c>
      <c r="L26" s="320">
        <f t="shared" ref="L26:M26" si="8">SUM(L27:L30)</f>
        <v>5445130</v>
      </c>
      <c r="M26" s="154">
        <f t="shared" si="8"/>
        <v>229870</v>
      </c>
      <c r="N26" s="455">
        <f t="shared" ref="N26" si="9">SUM(N27:N30)</f>
        <v>5675000</v>
      </c>
      <c r="O26" s="532">
        <f t="shared" si="1"/>
        <v>112.08769504246494</v>
      </c>
    </row>
    <row r="27" spans="2:16" ht="12.95" customHeight="1" x14ac:dyDescent="0.2">
      <c r="B27" s="10"/>
      <c r="C27" s="11"/>
      <c r="D27" s="22"/>
      <c r="E27" s="22"/>
      <c r="F27" s="119">
        <v>614100</v>
      </c>
      <c r="G27" s="134"/>
      <c r="H27" s="305" t="s">
        <v>634</v>
      </c>
      <c r="I27" s="155">
        <v>400000</v>
      </c>
      <c r="J27" s="155">
        <v>400000</v>
      </c>
      <c r="K27" s="155">
        <v>200000</v>
      </c>
      <c r="L27" s="251">
        <v>900000</v>
      </c>
      <c r="M27" s="155">
        <v>0</v>
      </c>
      <c r="N27" s="481">
        <f t="shared" ref="N27:N29" si="10">SUM(L27:M27)</f>
        <v>900000</v>
      </c>
      <c r="O27" s="533">
        <f t="shared" si="1"/>
        <v>225</v>
      </c>
      <c r="P27" s="275"/>
    </row>
    <row r="28" spans="2:16" ht="12.95" customHeight="1" x14ac:dyDescent="0.2">
      <c r="B28" s="10"/>
      <c r="C28" s="11"/>
      <c r="D28" s="11"/>
      <c r="E28" s="11"/>
      <c r="F28" s="119">
        <v>614200</v>
      </c>
      <c r="G28" s="134" t="s">
        <v>458</v>
      </c>
      <c r="H28" s="296" t="s">
        <v>635</v>
      </c>
      <c r="I28" s="155">
        <v>80000</v>
      </c>
      <c r="J28" s="155">
        <v>80000</v>
      </c>
      <c r="K28" s="155">
        <v>44170</v>
      </c>
      <c r="L28" s="251">
        <v>95000</v>
      </c>
      <c r="M28" s="155">
        <v>0</v>
      </c>
      <c r="N28" s="481">
        <f t="shared" si="10"/>
        <v>95000</v>
      </c>
      <c r="O28" s="533">
        <f t="shared" si="1"/>
        <v>118.75</v>
      </c>
    </row>
    <row r="29" spans="2:16" ht="12.95" customHeight="1" x14ac:dyDescent="0.2">
      <c r="B29" s="10"/>
      <c r="C29" s="11"/>
      <c r="D29" s="11"/>
      <c r="E29" s="11"/>
      <c r="F29" s="119">
        <v>614200</v>
      </c>
      <c r="G29" s="134" t="s">
        <v>460</v>
      </c>
      <c r="H29" s="296" t="s">
        <v>636</v>
      </c>
      <c r="I29" s="155">
        <v>4453000</v>
      </c>
      <c r="J29" s="155">
        <v>4453000</v>
      </c>
      <c r="K29" s="155">
        <v>1862867</v>
      </c>
      <c r="L29" s="251">
        <v>4320130</v>
      </c>
      <c r="M29" s="155">
        <v>229870</v>
      </c>
      <c r="N29" s="481">
        <f t="shared" si="10"/>
        <v>4550000</v>
      </c>
      <c r="O29" s="533">
        <f t="shared" si="1"/>
        <v>102.17830675948798</v>
      </c>
    </row>
    <row r="30" spans="2:16" ht="12.95" customHeight="1" x14ac:dyDescent="0.2">
      <c r="B30" s="10"/>
      <c r="C30" s="11"/>
      <c r="D30" s="11"/>
      <c r="E30" s="11"/>
      <c r="F30" s="119">
        <v>614300</v>
      </c>
      <c r="G30" s="134" t="s">
        <v>484</v>
      </c>
      <c r="H30" s="296" t="s">
        <v>637</v>
      </c>
      <c r="I30" s="155">
        <v>130000</v>
      </c>
      <c r="J30" s="155">
        <v>130000</v>
      </c>
      <c r="K30" s="155">
        <v>32700</v>
      </c>
      <c r="L30" s="251">
        <v>130000</v>
      </c>
      <c r="M30" s="155">
        <v>0</v>
      </c>
      <c r="N30" s="481">
        <f t="shared" ref="N30" si="11">SUM(L30:M30)</f>
        <v>130000</v>
      </c>
      <c r="O30" s="533">
        <f t="shared" si="1"/>
        <v>100</v>
      </c>
    </row>
    <row r="31" spans="2:16" ht="12.95" customHeight="1" x14ac:dyDescent="0.2">
      <c r="B31" s="10"/>
      <c r="C31" s="11"/>
      <c r="D31" s="11"/>
      <c r="E31" s="11"/>
      <c r="F31" s="119"/>
      <c r="G31" s="134"/>
      <c r="H31" s="22"/>
      <c r="I31" s="152"/>
      <c r="J31" s="152"/>
      <c r="K31" s="152"/>
      <c r="L31" s="250"/>
      <c r="M31" s="152"/>
      <c r="N31" s="457"/>
      <c r="O31" s="533" t="str">
        <f t="shared" si="1"/>
        <v/>
      </c>
    </row>
    <row r="32" spans="2:16" ht="12.95" customHeight="1" x14ac:dyDescent="0.25">
      <c r="B32" s="12"/>
      <c r="C32" s="8"/>
      <c r="D32" s="8"/>
      <c r="E32" s="8"/>
      <c r="F32" s="118">
        <v>821000</v>
      </c>
      <c r="G32" s="133"/>
      <c r="H32" s="23" t="s">
        <v>526</v>
      </c>
      <c r="I32" s="154">
        <f t="shared" ref="I32:K32" si="12">I33+I34</f>
        <v>3400</v>
      </c>
      <c r="J32" s="154">
        <f t="shared" si="12"/>
        <v>3400</v>
      </c>
      <c r="K32" s="154">
        <f t="shared" si="12"/>
        <v>3183</v>
      </c>
      <c r="L32" s="320">
        <f t="shared" ref="L32:N32" si="13">L33+L34</f>
        <v>3400</v>
      </c>
      <c r="M32" s="154">
        <f t="shared" si="13"/>
        <v>0</v>
      </c>
      <c r="N32" s="455">
        <f t="shared" si="13"/>
        <v>3400</v>
      </c>
      <c r="O32" s="532">
        <f t="shared" si="1"/>
        <v>100</v>
      </c>
    </row>
    <row r="33" spans="2:16" s="1" customFormat="1" ht="12.95" customHeight="1" x14ac:dyDescent="0.2">
      <c r="B33" s="10"/>
      <c r="C33" s="11"/>
      <c r="D33" s="11"/>
      <c r="E33" s="11"/>
      <c r="F33" s="119">
        <v>821200</v>
      </c>
      <c r="G33" s="134"/>
      <c r="H33" s="22" t="s">
        <v>528</v>
      </c>
      <c r="I33" s="152">
        <v>0</v>
      </c>
      <c r="J33" s="152">
        <v>0</v>
      </c>
      <c r="K33" s="152">
        <v>0</v>
      </c>
      <c r="L33" s="250">
        <v>0</v>
      </c>
      <c r="M33" s="152">
        <v>0</v>
      </c>
      <c r="N33" s="481">
        <f t="shared" ref="N33:N34" si="14">SUM(L33:M33)</f>
        <v>0</v>
      </c>
      <c r="O33" s="533" t="str">
        <f t="shared" si="1"/>
        <v/>
      </c>
      <c r="P33" s="1" t="s">
        <v>638</v>
      </c>
    </row>
    <row r="34" spans="2:16" ht="12.95" customHeight="1" x14ac:dyDescent="0.2">
      <c r="B34" s="10"/>
      <c r="C34" s="11"/>
      <c r="D34" s="11"/>
      <c r="E34" s="11"/>
      <c r="F34" s="119">
        <v>821300</v>
      </c>
      <c r="G34" s="134"/>
      <c r="H34" s="22" t="s">
        <v>529</v>
      </c>
      <c r="I34" s="152">
        <v>3400</v>
      </c>
      <c r="J34" s="152">
        <v>3400</v>
      </c>
      <c r="K34" s="152">
        <v>3183</v>
      </c>
      <c r="L34" s="250">
        <v>3400</v>
      </c>
      <c r="M34" s="152">
        <v>0</v>
      </c>
      <c r="N34" s="481">
        <f t="shared" si="14"/>
        <v>3400</v>
      </c>
      <c r="O34" s="533">
        <f t="shared" si="1"/>
        <v>100</v>
      </c>
    </row>
    <row r="35" spans="2:16" ht="12.95" customHeight="1" x14ac:dyDescent="0.2">
      <c r="B35" s="10"/>
      <c r="C35" s="11"/>
      <c r="D35" s="11"/>
      <c r="E35" s="11"/>
      <c r="F35" s="119"/>
      <c r="G35" s="134"/>
      <c r="H35" s="22"/>
      <c r="I35" s="152"/>
      <c r="J35" s="152"/>
      <c r="K35" s="152"/>
      <c r="L35" s="250"/>
      <c r="M35" s="152"/>
      <c r="N35" s="457"/>
      <c r="O35" s="533" t="str">
        <f t="shared" si="1"/>
        <v/>
      </c>
    </row>
    <row r="36" spans="2:16" ht="12.95" customHeight="1" x14ac:dyDescent="0.25">
      <c r="B36" s="12"/>
      <c r="C36" s="8"/>
      <c r="D36" s="8"/>
      <c r="E36" s="8"/>
      <c r="F36" s="118"/>
      <c r="G36" s="133"/>
      <c r="H36" s="23" t="s">
        <v>540</v>
      </c>
      <c r="I36" s="266" t="s">
        <v>639</v>
      </c>
      <c r="J36" s="266" t="s">
        <v>639</v>
      </c>
      <c r="K36" s="266" t="s">
        <v>640</v>
      </c>
      <c r="L36" s="322">
        <v>11</v>
      </c>
      <c r="M36" s="266"/>
      <c r="N36" s="450">
        <v>11</v>
      </c>
      <c r="O36" s="533"/>
    </row>
    <row r="37" spans="2:16" s="1" customFormat="1" ht="12.95" customHeight="1" x14ac:dyDescent="0.25">
      <c r="B37" s="12"/>
      <c r="C37" s="8"/>
      <c r="D37" s="8"/>
      <c r="E37" s="8"/>
      <c r="F37" s="118"/>
      <c r="G37" s="133"/>
      <c r="H37" s="8" t="s">
        <v>557</v>
      </c>
      <c r="I37" s="256">
        <f t="shared" ref="I37:N37" si="15">I8+I12+I15+I26+I32</f>
        <v>5583290</v>
      </c>
      <c r="J37" s="14">
        <f t="shared" si="15"/>
        <v>5583290</v>
      </c>
      <c r="K37" s="14">
        <f t="shared" si="15"/>
        <v>2408248</v>
      </c>
      <c r="L37" s="259">
        <f t="shared" si="15"/>
        <v>6000840</v>
      </c>
      <c r="M37" s="14">
        <f t="shared" si="15"/>
        <v>229870</v>
      </c>
      <c r="N37" s="455">
        <f t="shared" si="15"/>
        <v>6230710</v>
      </c>
      <c r="O37" s="532">
        <f>IF(J37=0,"",N37/J37*100)</f>
        <v>111.59567208581321</v>
      </c>
    </row>
    <row r="38" spans="2:16" s="1" customFormat="1" ht="12.95" customHeight="1" x14ac:dyDescent="0.25">
      <c r="B38" s="12"/>
      <c r="C38" s="8"/>
      <c r="D38" s="8"/>
      <c r="E38" s="8"/>
      <c r="F38" s="118"/>
      <c r="G38" s="133"/>
      <c r="H38" s="8" t="s">
        <v>558</v>
      </c>
      <c r="I38" s="14">
        <f t="shared" ref="I38:J39" si="16">I37</f>
        <v>5583290</v>
      </c>
      <c r="J38" s="14">
        <f t="shared" si="16"/>
        <v>5583290</v>
      </c>
      <c r="K38" s="14">
        <f t="shared" ref="K38" si="17">K37</f>
        <v>2408248</v>
      </c>
      <c r="L38" s="259">
        <f t="shared" ref="L38:N39" si="18">L37</f>
        <v>6000840</v>
      </c>
      <c r="M38" s="14">
        <f t="shared" si="18"/>
        <v>229870</v>
      </c>
      <c r="N38" s="455">
        <f t="shared" si="18"/>
        <v>6230710</v>
      </c>
      <c r="O38" s="532">
        <f>IF(J38=0,"",N38/J38*100)</f>
        <v>111.59567208581321</v>
      </c>
    </row>
    <row r="39" spans="2:16" s="1" customFormat="1" ht="12.95" customHeight="1" x14ac:dyDescent="0.25">
      <c r="B39" s="12"/>
      <c r="C39" s="8"/>
      <c r="D39" s="8"/>
      <c r="E39" s="8"/>
      <c r="F39" s="118"/>
      <c r="G39" s="133"/>
      <c r="H39" s="8" t="s">
        <v>559</v>
      </c>
      <c r="I39" s="14">
        <f t="shared" si="16"/>
        <v>5583290</v>
      </c>
      <c r="J39" s="14">
        <f t="shared" si="16"/>
        <v>5583290</v>
      </c>
      <c r="K39" s="14">
        <f t="shared" ref="K39" si="19">K38</f>
        <v>2408248</v>
      </c>
      <c r="L39" s="259">
        <f t="shared" si="18"/>
        <v>6000840</v>
      </c>
      <c r="M39" s="14">
        <f t="shared" si="18"/>
        <v>229870</v>
      </c>
      <c r="N39" s="455">
        <f t="shared" si="18"/>
        <v>6230710</v>
      </c>
      <c r="O39" s="532">
        <f>IF(J39=0,"",N39/J39*100)</f>
        <v>111.59567208581321</v>
      </c>
    </row>
    <row r="40" spans="2:16" s="1" customFormat="1" ht="12.95" customHeight="1" thickBot="1" x14ac:dyDescent="0.25">
      <c r="B40" s="15"/>
      <c r="C40" s="16"/>
      <c r="D40" s="16"/>
      <c r="E40" s="16"/>
      <c r="F40" s="120"/>
      <c r="G40" s="135"/>
      <c r="H40" s="16"/>
      <c r="I40" s="16"/>
      <c r="J40" s="16"/>
      <c r="K40" s="16"/>
      <c r="L40" s="15"/>
      <c r="M40" s="16"/>
      <c r="N40" s="475"/>
      <c r="O40" s="534"/>
    </row>
    <row r="41" spans="2:16" ht="12.95" customHeight="1" x14ac:dyDescent="0.2">
      <c r="F41" s="121"/>
      <c r="G41" s="136"/>
      <c r="L41" s="274"/>
      <c r="N41" s="162"/>
    </row>
    <row r="42" spans="2:16" ht="12.95" customHeight="1" x14ac:dyDescent="0.2">
      <c r="F42" s="121"/>
      <c r="G42" s="136"/>
      <c r="N42" s="162"/>
    </row>
    <row r="43" spans="2:16" ht="12.95" customHeight="1" x14ac:dyDescent="0.2">
      <c r="F43" s="121"/>
      <c r="G43" s="136"/>
      <c r="N43" s="162"/>
    </row>
    <row r="44" spans="2:16" ht="12.95" customHeight="1" x14ac:dyDescent="0.2">
      <c r="F44" s="121"/>
      <c r="G44" s="136"/>
      <c r="N44" s="162"/>
    </row>
    <row r="45" spans="2:16" ht="12.95" customHeight="1" x14ac:dyDescent="0.2">
      <c r="F45" s="121"/>
      <c r="G45" s="136"/>
      <c r="N45" s="162"/>
    </row>
    <row r="46" spans="2:16" ht="12.95" customHeight="1" x14ac:dyDescent="0.2">
      <c r="F46" s="121"/>
      <c r="G46" s="136"/>
      <c r="N46" s="162"/>
    </row>
    <row r="47" spans="2:16" ht="12.95" customHeight="1" x14ac:dyDescent="0.2">
      <c r="F47" s="121"/>
      <c r="G47" s="136"/>
      <c r="N47" s="162"/>
    </row>
    <row r="48" spans="2:16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7.100000000000001" customHeight="1" x14ac:dyDescent="0.2">
      <c r="F58" s="121"/>
      <c r="G58" s="136"/>
      <c r="N58" s="162"/>
    </row>
    <row r="59" spans="6:14" ht="17.100000000000001" customHeight="1" x14ac:dyDescent="0.2">
      <c r="F59" s="121"/>
      <c r="G59" s="136"/>
      <c r="N59" s="162"/>
    </row>
    <row r="60" spans="6:14" ht="17.100000000000001" customHeight="1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1"/>
  <dimension ref="B1:R94"/>
  <sheetViews>
    <sheetView topLeftCell="I3" zoomScaleNormal="100" zoomScaleSheetLayoutView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641</v>
      </c>
      <c r="C2" s="639"/>
      <c r="D2" s="639"/>
      <c r="E2" s="639"/>
      <c r="F2" s="639"/>
      <c r="G2" s="639"/>
      <c r="H2" s="639"/>
      <c r="I2" s="639"/>
      <c r="J2" s="666"/>
      <c r="K2" s="666"/>
      <c r="L2" s="666"/>
      <c r="M2" s="666"/>
      <c r="N2" s="666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642</v>
      </c>
      <c r="C7" s="7" t="s">
        <v>554</v>
      </c>
      <c r="D7" s="7" t="s">
        <v>555</v>
      </c>
      <c r="E7" s="285" t="s">
        <v>614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435370</v>
      </c>
      <c r="J8" s="154">
        <f t="shared" si="0"/>
        <v>435370</v>
      </c>
      <c r="K8" s="154">
        <f t="shared" si="0"/>
        <v>227601</v>
      </c>
      <c r="L8" s="320">
        <f>SUM(L9:L11)</f>
        <v>473920</v>
      </c>
      <c r="M8" s="154">
        <f>SUM(M9:M11)</f>
        <v>0</v>
      </c>
      <c r="N8" s="480">
        <f>SUM(N9:N11)</f>
        <v>473920</v>
      </c>
      <c r="O8" s="532">
        <f t="shared" ref="O8:O35" si="1">IF(J8=0,"",N8/J8*100)</f>
        <v>108.85453751981073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361080</v>
      </c>
      <c r="J9" s="155">
        <v>361080</v>
      </c>
      <c r="K9" s="155">
        <v>181639</v>
      </c>
      <c r="L9" s="251">
        <f>368500+1.5*2100+2*800</f>
        <v>373250</v>
      </c>
      <c r="M9" s="155"/>
      <c r="N9" s="481">
        <f>SUM(L9:M9)</f>
        <v>373250</v>
      </c>
      <c r="O9" s="533">
        <f t="shared" si="1"/>
        <v>103.3704442228869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74290</v>
      </c>
      <c r="J10" s="155">
        <v>74290</v>
      </c>
      <c r="K10" s="155">
        <v>45962</v>
      </c>
      <c r="L10" s="251">
        <f>86500+2*380+2*1400+5410+13*400</f>
        <v>100670</v>
      </c>
      <c r="M10" s="155"/>
      <c r="N10" s="481">
        <f t="shared" ref="N10" si="2">SUM(L10:M10)</f>
        <v>100670</v>
      </c>
      <c r="O10" s="533">
        <f t="shared" si="1"/>
        <v>135.50948983712479</v>
      </c>
    </row>
    <row r="11" spans="2:15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38280</v>
      </c>
      <c r="J12" s="154">
        <f t="shared" si="3"/>
        <v>38280</v>
      </c>
      <c r="K12" s="154">
        <f t="shared" si="3"/>
        <v>19072</v>
      </c>
      <c r="L12" s="320">
        <f t="shared" ref="L12:N12" si="4">L13</f>
        <v>39660</v>
      </c>
      <c r="M12" s="154">
        <f t="shared" si="4"/>
        <v>0</v>
      </c>
      <c r="N12" s="480">
        <f t="shared" si="4"/>
        <v>39660</v>
      </c>
      <c r="O12" s="532">
        <f t="shared" si="1"/>
        <v>103.6050156739812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38280</v>
      </c>
      <c r="J13" s="155">
        <v>38280</v>
      </c>
      <c r="K13" s="155">
        <v>19072</v>
      </c>
      <c r="L13" s="251">
        <f>38720+2*250+2*220</f>
        <v>39660</v>
      </c>
      <c r="M13" s="155"/>
      <c r="N13" s="481">
        <f>SUM(L13:M13)</f>
        <v>39660</v>
      </c>
      <c r="O13" s="533">
        <f t="shared" si="1"/>
        <v>103.6050156739812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SUM(I16:I25)</f>
        <v>818000</v>
      </c>
      <c r="J15" s="156">
        <f t="shared" si="5"/>
        <v>818000</v>
      </c>
      <c r="K15" s="156">
        <f t="shared" si="5"/>
        <v>411035</v>
      </c>
      <c r="L15" s="321">
        <f>SUM(L16:L25)</f>
        <v>87500</v>
      </c>
      <c r="M15" s="156">
        <f>SUM(M16:M25)</f>
        <v>760000</v>
      </c>
      <c r="N15" s="455">
        <f>SUM(N16:N25)</f>
        <v>847500</v>
      </c>
      <c r="O15" s="532">
        <f t="shared" si="1"/>
        <v>103.60635696821517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3000</v>
      </c>
      <c r="J16" s="155">
        <v>5500</v>
      </c>
      <c r="K16" s="155">
        <v>2120</v>
      </c>
      <c r="L16" s="251">
        <v>5500</v>
      </c>
      <c r="M16" s="155">
        <v>0</v>
      </c>
      <c r="N16" s="481">
        <f t="shared" ref="N16:N25" si="6">SUM(L16:M16)</f>
        <v>5500</v>
      </c>
      <c r="O16" s="533">
        <f t="shared" si="1"/>
        <v>100</v>
      </c>
    </row>
    <row r="17" spans="2:18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0</v>
      </c>
      <c r="J17" s="155">
        <v>0</v>
      </c>
      <c r="K17" s="155">
        <v>0</v>
      </c>
      <c r="L17" s="251">
        <v>0</v>
      </c>
      <c r="M17" s="155">
        <v>0</v>
      </c>
      <c r="N17" s="481">
        <f t="shared" si="6"/>
        <v>0</v>
      </c>
      <c r="O17" s="533" t="str">
        <f t="shared" si="1"/>
        <v/>
      </c>
    </row>
    <row r="18" spans="2:18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7000</v>
      </c>
      <c r="J18" s="155">
        <v>7000</v>
      </c>
      <c r="K18" s="155">
        <v>2661</v>
      </c>
      <c r="L18" s="251">
        <v>7000</v>
      </c>
      <c r="M18" s="155">
        <v>0</v>
      </c>
      <c r="N18" s="481">
        <f t="shared" si="6"/>
        <v>7000</v>
      </c>
      <c r="O18" s="533">
        <f t="shared" si="1"/>
        <v>100</v>
      </c>
    </row>
    <row r="19" spans="2:18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3000</v>
      </c>
      <c r="J19" s="155">
        <v>3000</v>
      </c>
      <c r="K19" s="155">
        <v>840</v>
      </c>
      <c r="L19" s="251">
        <v>3000</v>
      </c>
      <c r="M19" s="155">
        <v>0</v>
      </c>
      <c r="N19" s="481">
        <f t="shared" si="6"/>
        <v>3000</v>
      </c>
      <c r="O19" s="533">
        <f t="shared" si="1"/>
        <v>100</v>
      </c>
    </row>
    <row r="20" spans="2:18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0</v>
      </c>
      <c r="J20" s="155">
        <v>0</v>
      </c>
      <c r="K20" s="155">
        <v>0</v>
      </c>
      <c r="L20" s="251">
        <v>0</v>
      </c>
      <c r="M20" s="155">
        <v>0</v>
      </c>
      <c r="N20" s="481">
        <f t="shared" si="6"/>
        <v>0</v>
      </c>
      <c r="O20" s="533" t="str">
        <f t="shared" si="1"/>
        <v/>
      </c>
    </row>
    <row r="21" spans="2:18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8" ht="12.95" customHeight="1" x14ac:dyDescent="0.2">
      <c r="B22" s="10"/>
      <c r="C22" s="11"/>
      <c r="D22" s="11"/>
      <c r="E22" s="281"/>
      <c r="F22" s="124">
        <v>613700</v>
      </c>
      <c r="G22" s="139"/>
      <c r="H22" s="22" t="s">
        <v>410</v>
      </c>
      <c r="I22" s="155">
        <v>10000</v>
      </c>
      <c r="J22" s="155">
        <v>10000</v>
      </c>
      <c r="K22" s="155">
        <v>823</v>
      </c>
      <c r="L22" s="251">
        <v>10000</v>
      </c>
      <c r="M22" s="155">
        <v>0</v>
      </c>
      <c r="N22" s="481">
        <f t="shared" si="6"/>
        <v>10000</v>
      </c>
      <c r="O22" s="533">
        <f t="shared" si="1"/>
        <v>100</v>
      </c>
    </row>
    <row r="23" spans="2:18" ht="12.95" customHeight="1" x14ac:dyDescent="0.2">
      <c r="B23" s="10"/>
      <c r="C23" s="11"/>
      <c r="D23" s="22"/>
      <c r="E23" s="22"/>
      <c r="F23" s="119">
        <v>613700</v>
      </c>
      <c r="G23" s="131" t="s">
        <v>412</v>
      </c>
      <c r="H23" s="306" t="s">
        <v>643</v>
      </c>
      <c r="I23" s="155">
        <v>760000</v>
      </c>
      <c r="J23" s="155">
        <v>750000</v>
      </c>
      <c r="K23" s="155">
        <v>374325</v>
      </c>
      <c r="L23" s="251">
        <v>0</v>
      </c>
      <c r="M23" s="155">
        <v>760000</v>
      </c>
      <c r="N23" s="481">
        <f t="shared" si="6"/>
        <v>760000</v>
      </c>
      <c r="O23" s="533">
        <f t="shared" si="1"/>
        <v>101.33333333333334</v>
      </c>
      <c r="Q23" s="45"/>
    </row>
    <row r="24" spans="2:18" ht="12.95" customHeight="1" x14ac:dyDescent="0.2">
      <c r="B24" s="10"/>
      <c r="C24" s="11"/>
      <c r="D24" s="11"/>
      <c r="E24" s="280"/>
      <c r="F24" s="123">
        <v>613800</v>
      </c>
      <c r="G24" s="138"/>
      <c r="H24" s="22" t="s">
        <v>414</v>
      </c>
      <c r="I24" s="155">
        <v>0</v>
      </c>
      <c r="J24" s="155">
        <v>0</v>
      </c>
      <c r="K24" s="155">
        <v>0</v>
      </c>
      <c r="L24" s="251">
        <v>0</v>
      </c>
      <c r="M24" s="155">
        <v>0</v>
      </c>
      <c r="N24" s="481">
        <f t="shared" si="6"/>
        <v>0</v>
      </c>
      <c r="O24" s="533" t="str">
        <f t="shared" si="1"/>
        <v/>
      </c>
      <c r="R24" s="45"/>
    </row>
    <row r="25" spans="2:18" ht="12.95" customHeight="1" x14ac:dyDescent="0.2">
      <c r="B25" s="10"/>
      <c r="C25" s="11"/>
      <c r="D25" s="11"/>
      <c r="E25" s="11"/>
      <c r="F25" s="119">
        <v>613900</v>
      </c>
      <c r="G25" s="134"/>
      <c r="H25" s="22" t="s">
        <v>417</v>
      </c>
      <c r="I25" s="155">
        <v>35000</v>
      </c>
      <c r="J25" s="155">
        <v>42500</v>
      </c>
      <c r="K25" s="155">
        <v>30266</v>
      </c>
      <c r="L25" s="251">
        <v>62000</v>
      </c>
      <c r="M25" s="155">
        <v>0</v>
      </c>
      <c r="N25" s="582">
        <f t="shared" si="6"/>
        <v>62000</v>
      </c>
      <c r="O25" s="533">
        <f t="shared" si="1"/>
        <v>145.88235294117646</v>
      </c>
      <c r="P25" s="275"/>
    </row>
    <row r="26" spans="2:18" ht="12.95" customHeight="1" x14ac:dyDescent="0.2">
      <c r="B26" s="10"/>
      <c r="C26" s="11"/>
      <c r="D26" s="11"/>
      <c r="E26" s="11"/>
      <c r="F26" s="119"/>
      <c r="G26" s="134"/>
      <c r="H26" s="22"/>
      <c r="I26" s="155"/>
      <c r="J26" s="155"/>
      <c r="K26" s="155"/>
      <c r="L26" s="251"/>
      <c r="M26" s="155"/>
      <c r="N26" s="457"/>
      <c r="O26" s="533" t="str">
        <f t="shared" si="1"/>
        <v/>
      </c>
    </row>
    <row r="27" spans="2:18" s="1" customFormat="1" ht="12.95" customHeight="1" x14ac:dyDescent="0.25">
      <c r="B27" s="12"/>
      <c r="C27" s="8"/>
      <c r="D27" s="8"/>
      <c r="E27" s="8"/>
      <c r="F27" s="118">
        <v>614000</v>
      </c>
      <c r="G27" s="133"/>
      <c r="H27" s="23" t="s">
        <v>434</v>
      </c>
      <c r="I27" s="154">
        <f t="shared" ref="I27:K27" si="7">I28</f>
        <v>430000</v>
      </c>
      <c r="J27" s="154">
        <f t="shared" si="7"/>
        <v>430000</v>
      </c>
      <c r="K27" s="154">
        <f t="shared" si="7"/>
        <v>8162</v>
      </c>
      <c r="L27" s="320">
        <f t="shared" ref="L27:N27" si="8">L28</f>
        <v>0</v>
      </c>
      <c r="M27" s="154">
        <f t="shared" si="8"/>
        <v>450000</v>
      </c>
      <c r="N27" s="455">
        <f t="shared" si="8"/>
        <v>450000</v>
      </c>
      <c r="O27" s="532">
        <f t="shared" si="1"/>
        <v>104.65116279069768</v>
      </c>
    </row>
    <row r="28" spans="2:18" ht="12.95" customHeight="1" x14ac:dyDescent="0.2">
      <c r="B28" s="10"/>
      <c r="C28" s="11"/>
      <c r="D28" s="22"/>
      <c r="E28" s="282"/>
      <c r="F28" s="123">
        <v>614100</v>
      </c>
      <c r="G28" s="138" t="s">
        <v>443</v>
      </c>
      <c r="H28" s="282" t="s">
        <v>644</v>
      </c>
      <c r="I28" s="155">
        <v>430000</v>
      </c>
      <c r="J28" s="155">
        <v>430000</v>
      </c>
      <c r="K28" s="155">
        <v>8162</v>
      </c>
      <c r="L28" s="251">
        <v>0</v>
      </c>
      <c r="M28" s="155">
        <v>450000</v>
      </c>
      <c r="N28" s="481">
        <f t="shared" ref="N28" si="9">SUM(L28:M28)</f>
        <v>450000</v>
      </c>
      <c r="O28" s="533">
        <f t="shared" si="1"/>
        <v>104.65116279069768</v>
      </c>
      <c r="Q28" s="45"/>
    </row>
    <row r="29" spans="2:18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8" s="1" customFormat="1" ht="12.95" customHeight="1" x14ac:dyDescent="0.25">
      <c r="B30" s="12"/>
      <c r="C30" s="8"/>
      <c r="D30" s="8"/>
      <c r="E30" s="8"/>
      <c r="F30" s="118">
        <v>821000</v>
      </c>
      <c r="G30" s="133"/>
      <c r="H30" s="23" t="s">
        <v>526</v>
      </c>
      <c r="I30" s="154">
        <f t="shared" ref="I30:K30" si="10">SUM(I31:I34)</f>
        <v>1910000</v>
      </c>
      <c r="J30" s="154">
        <f t="shared" si="10"/>
        <v>1910000</v>
      </c>
      <c r="K30" s="154">
        <f t="shared" si="10"/>
        <v>414171</v>
      </c>
      <c r="L30" s="320">
        <f t="shared" ref="L30:M30" si="11">SUM(L31:L34)</f>
        <v>10000</v>
      </c>
      <c r="M30" s="154">
        <f t="shared" si="11"/>
        <v>3605000</v>
      </c>
      <c r="N30" s="455">
        <f t="shared" ref="N30" si="12">SUM(N31:N34)</f>
        <v>3615000</v>
      </c>
      <c r="O30" s="532">
        <f t="shared" si="1"/>
        <v>189.26701570680629</v>
      </c>
    </row>
    <row r="31" spans="2:18" ht="12.95" customHeight="1" x14ac:dyDescent="0.2">
      <c r="B31" s="10"/>
      <c r="C31" s="11"/>
      <c r="D31" s="11"/>
      <c r="E31" s="11"/>
      <c r="F31" s="119">
        <v>821200</v>
      </c>
      <c r="G31" s="134"/>
      <c r="H31" s="22" t="s">
        <v>528</v>
      </c>
      <c r="I31" s="155">
        <v>0</v>
      </c>
      <c r="J31" s="155">
        <v>0</v>
      </c>
      <c r="K31" s="155">
        <v>0</v>
      </c>
      <c r="L31" s="251">
        <v>0</v>
      </c>
      <c r="M31" s="155"/>
      <c r="N31" s="481">
        <f t="shared" ref="N31:N32" si="13">SUM(L31:M31)</f>
        <v>0</v>
      </c>
      <c r="O31" s="533" t="str">
        <f t="shared" si="1"/>
        <v/>
      </c>
      <c r="Q31" s="1"/>
    </row>
    <row r="32" spans="2:18" ht="12.95" customHeight="1" x14ac:dyDescent="0.2">
      <c r="B32" s="10"/>
      <c r="C32" s="11"/>
      <c r="D32" s="11"/>
      <c r="E32" s="11"/>
      <c r="F32" s="119">
        <v>821300</v>
      </c>
      <c r="G32" s="134"/>
      <c r="H32" s="22" t="s">
        <v>529</v>
      </c>
      <c r="I32" s="155">
        <v>10000</v>
      </c>
      <c r="J32" s="155">
        <v>10000</v>
      </c>
      <c r="K32" s="155">
        <v>2880</v>
      </c>
      <c r="L32" s="251">
        <v>10000</v>
      </c>
      <c r="M32" s="155">
        <v>0</v>
      </c>
      <c r="N32" s="481">
        <f t="shared" si="13"/>
        <v>10000</v>
      </c>
      <c r="O32" s="533">
        <f t="shared" si="1"/>
        <v>100</v>
      </c>
    </row>
    <row r="33" spans="2:17" ht="12.95" customHeight="1" x14ac:dyDescent="0.2">
      <c r="B33" s="10"/>
      <c r="C33" s="11"/>
      <c r="D33" s="11"/>
      <c r="E33" s="11"/>
      <c r="F33" s="119">
        <v>821500</v>
      </c>
      <c r="G33" s="134" t="s">
        <v>533</v>
      </c>
      <c r="H33" s="296" t="s">
        <v>534</v>
      </c>
      <c r="I33" s="155">
        <v>1100000</v>
      </c>
      <c r="J33" s="155">
        <v>1100000</v>
      </c>
      <c r="K33" s="155">
        <v>102669</v>
      </c>
      <c r="L33" s="251">
        <v>0</v>
      </c>
      <c r="M33" s="155">
        <v>1375000</v>
      </c>
      <c r="N33" s="481">
        <f t="shared" ref="N33" si="14">SUM(L33:M33)</f>
        <v>1375000</v>
      </c>
      <c r="O33" s="533">
        <f t="shared" si="1"/>
        <v>125</v>
      </c>
      <c r="P33" s="275"/>
      <c r="Q33" s="45"/>
    </row>
    <row r="34" spans="2:17" ht="12.95" customHeight="1" x14ac:dyDescent="0.2">
      <c r="B34" s="10"/>
      <c r="C34" s="11"/>
      <c r="D34" s="11"/>
      <c r="E34" s="11"/>
      <c r="F34" s="119">
        <v>821600</v>
      </c>
      <c r="G34" s="134" t="s">
        <v>535</v>
      </c>
      <c r="H34" s="296" t="s">
        <v>536</v>
      </c>
      <c r="I34" s="155">
        <v>800000</v>
      </c>
      <c r="J34" s="155">
        <v>800000</v>
      </c>
      <c r="K34" s="155">
        <v>308622</v>
      </c>
      <c r="L34" s="251">
        <v>0</v>
      </c>
      <c r="M34" s="155">
        <v>2230000</v>
      </c>
      <c r="N34" s="481">
        <f t="shared" ref="N34" si="15">SUM(L34:M34)</f>
        <v>2230000</v>
      </c>
      <c r="O34" s="533">
        <f t="shared" si="1"/>
        <v>278.75</v>
      </c>
      <c r="Q34" s="312"/>
    </row>
    <row r="35" spans="2:17" ht="12.95" customHeight="1" x14ac:dyDescent="0.25">
      <c r="B35" s="10"/>
      <c r="C35" s="11"/>
      <c r="D35" s="11"/>
      <c r="E35" s="11"/>
      <c r="F35" s="119"/>
      <c r="G35" s="134"/>
      <c r="H35" s="22"/>
      <c r="I35" s="154"/>
      <c r="J35" s="154"/>
      <c r="K35" s="154"/>
      <c r="L35" s="320"/>
      <c r="M35" s="154"/>
      <c r="N35" s="455"/>
      <c r="O35" s="533" t="str">
        <f t="shared" si="1"/>
        <v/>
      </c>
    </row>
    <row r="36" spans="2:17" s="1" customFormat="1" ht="12.95" customHeight="1" x14ac:dyDescent="0.25">
      <c r="B36" s="12"/>
      <c r="C36" s="8"/>
      <c r="D36" s="8"/>
      <c r="E36" s="8"/>
      <c r="F36" s="118"/>
      <c r="G36" s="133"/>
      <c r="H36" s="23" t="s">
        <v>540</v>
      </c>
      <c r="I36" s="266">
        <v>13</v>
      </c>
      <c r="J36" s="266">
        <v>13</v>
      </c>
      <c r="K36" s="266">
        <v>12</v>
      </c>
      <c r="L36" s="322">
        <v>13</v>
      </c>
      <c r="M36" s="154"/>
      <c r="N36" s="450">
        <v>13</v>
      </c>
      <c r="O36" s="533"/>
    </row>
    <row r="37" spans="2:17" s="1" customFormat="1" ht="12.95" customHeight="1" x14ac:dyDescent="0.25">
      <c r="B37" s="12"/>
      <c r="C37" s="8"/>
      <c r="D37" s="8"/>
      <c r="E37" s="8"/>
      <c r="F37" s="118"/>
      <c r="G37" s="133"/>
      <c r="H37" s="8" t="s">
        <v>557</v>
      </c>
      <c r="I37" s="256">
        <f t="shared" ref="I37:N37" si="16">I8+I12+I15+I27+I30</f>
        <v>3631650</v>
      </c>
      <c r="J37" s="14">
        <f t="shared" si="16"/>
        <v>3631650</v>
      </c>
      <c r="K37" s="14">
        <f t="shared" si="16"/>
        <v>1080041</v>
      </c>
      <c r="L37" s="259">
        <f t="shared" si="16"/>
        <v>611080</v>
      </c>
      <c r="M37" s="14">
        <f t="shared" si="16"/>
        <v>4815000</v>
      </c>
      <c r="N37" s="455">
        <f t="shared" si="16"/>
        <v>5426080</v>
      </c>
      <c r="O37" s="532">
        <f>IF(J37=0,"",N37/J37*100)</f>
        <v>149.41087384522186</v>
      </c>
    </row>
    <row r="38" spans="2:17" s="1" customFormat="1" ht="12.95" customHeight="1" x14ac:dyDescent="0.25">
      <c r="B38" s="12"/>
      <c r="C38" s="8"/>
      <c r="D38" s="8"/>
      <c r="E38" s="8"/>
      <c r="F38" s="118"/>
      <c r="G38" s="133"/>
      <c r="H38" s="8" t="s">
        <v>558</v>
      </c>
      <c r="I38" s="14">
        <f t="shared" ref="I38:J39" si="17">I37</f>
        <v>3631650</v>
      </c>
      <c r="J38" s="14">
        <f t="shared" si="17"/>
        <v>3631650</v>
      </c>
      <c r="K38" s="14">
        <f t="shared" ref="K38" si="18">K37</f>
        <v>1080041</v>
      </c>
      <c r="L38" s="259">
        <f t="shared" ref="L38:N39" si="19">L37</f>
        <v>611080</v>
      </c>
      <c r="M38" s="14">
        <f t="shared" si="19"/>
        <v>4815000</v>
      </c>
      <c r="N38" s="455">
        <f t="shared" si="19"/>
        <v>5426080</v>
      </c>
      <c r="O38" s="532">
        <f>IF(J38=0,"",N38/J38*100)</f>
        <v>149.41087384522186</v>
      </c>
    </row>
    <row r="39" spans="2:17" s="1" customFormat="1" ht="12.95" customHeight="1" x14ac:dyDescent="0.25">
      <c r="B39" s="12"/>
      <c r="C39" s="8"/>
      <c r="D39" s="8"/>
      <c r="E39" s="8"/>
      <c r="F39" s="118"/>
      <c r="G39" s="133"/>
      <c r="H39" s="8" t="s">
        <v>559</v>
      </c>
      <c r="I39" s="14">
        <f t="shared" si="17"/>
        <v>3631650</v>
      </c>
      <c r="J39" s="14">
        <f t="shared" si="17"/>
        <v>3631650</v>
      </c>
      <c r="K39" s="14">
        <f t="shared" ref="K39" si="20">K38</f>
        <v>1080041</v>
      </c>
      <c r="L39" s="259">
        <f t="shared" si="19"/>
        <v>611080</v>
      </c>
      <c r="M39" s="14">
        <f t="shared" si="19"/>
        <v>4815000</v>
      </c>
      <c r="N39" s="455">
        <f t="shared" si="19"/>
        <v>5426080</v>
      </c>
      <c r="O39" s="532">
        <f>IF(J39=0,"",N39/J39*100)</f>
        <v>149.41087384522186</v>
      </c>
    </row>
    <row r="40" spans="2:17" ht="12.95" customHeight="1" thickBot="1" x14ac:dyDescent="0.25">
      <c r="B40" s="15"/>
      <c r="C40" s="16"/>
      <c r="D40" s="16"/>
      <c r="E40" s="16"/>
      <c r="F40" s="120"/>
      <c r="G40" s="135"/>
      <c r="H40" s="16"/>
      <c r="I40" s="29"/>
      <c r="J40" s="29"/>
      <c r="K40" s="29"/>
      <c r="L40" s="260"/>
      <c r="M40" s="29"/>
      <c r="N40" s="482"/>
      <c r="O40" s="534"/>
    </row>
    <row r="41" spans="2:17" ht="12.95" customHeight="1" x14ac:dyDescent="0.2">
      <c r="F41" s="121"/>
      <c r="G41" s="136"/>
      <c r="L41" s="504"/>
      <c r="N41" s="163"/>
    </row>
    <row r="42" spans="2:17" ht="12.95" customHeight="1" x14ac:dyDescent="0.2">
      <c r="F42" s="121"/>
      <c r="G42" s="136"/>
      <c r="N42" s="163"/>
    </row>
    <row r="43" spans="2:17" ht="12.95" customHeight="1" x14ac:dyDescent="0.2">
      <c r="F43" s="121"/>
      <c r="G43" s="136"/>
      <c r="N43" s="163"/>
    </row>
    <row r="44" spans="2:17" ht="12.95" customHeight="1" x14ac:dyDescent="0.2">
      <c r="F44" s="121"/>
      <c r="G44" s="136"/>
      <c r="N44" s="163"/>
    </row>
    <row r="45" spans="2:17" ht="12.95" customHeight="1" x14ac:dyDescent="0.2">
      <c r="F45" s="121"/>
      <c r="G45" s="136"/>
      <c r="N45" s="163"/>
    </row>
    <row r="46" spans="2:17" ht="12.95" customHeight="1" x14ac:dyDescent="0.2">
      <c r="F46" s="121"/>
      <c r="G46" s="136"/>
      <c r="N46" s="163"/>
    </row>
    <row r="47" spans="2:17" ht="12.95" customHeight="1" x14ac:dyDescent="0.2">
      <c r="F47" s="121"/>
      <c r="G47" s="136"/>
      <c r="N47" s="163"/>
    </row>
    <row r="48" spans="2:17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2"/>
  <dimension ref="B1:R98"/>
  <sheetViews>
    <sheetView topLeftCell="I6" zoomScaleNormal="100" zoomScaleSheetLayoutView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645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646</v>
      </c>
      <c r="C7" s="7" t="s">
        <v>554</v>
      </c>
      <c r="D7" s="7" t="s">
        <v>555</v>
      </c>
      <c r="E7" s="285" t="s">
        <v>647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982540</v>
      </c>
      <c r="J8" s="154">
        <f t="shared" si="0"/>
        <v>982540</v>
      </c>
      <c r="K8" s="154">
        <f t="shared" si="0"/>
        <v>509018</v>
      </c>
      <c r="L8" s="320">
        <f>SUM(L9:L11)</f>
        <v>1079140</v>
      </c>
      <c r="M8" s="154">
        <f>SUM(M9:M11)</f>
        <v>0</v>
      </c>
      <c r="N8" s="480">
        <f>SUM(N9:N11)</f>
        <v>1079140</v>
      </c>
      <c r="O8" s="532">
        <f t="shared" ref="O8:O39" si="1">IF(J8=0,"",N8/J8*100)</f>
        <v>109.83166079752478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832480</v>
      </c>
      <c r="J9" s="152">
        <v>832480</v>
      </c>
      <c r="K9" s="152">
        <v>420564</v>
      </c>
      <c r="L9" s="250">
        <f>885680+1350+1500</f>
        <v>888530</v>
      </c>
      <c r="M9" s="152">
        <v>0</v>
      </c>
      <c r="N9" s="481">
        <f>SUM(L9:M9)</f>
        <v>888530</v>
      </c>
      <c r="O9" s="533">
        <f t="shared" si="1"/>
        <v>106.73289448395155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150060</v>
      </c>
      <c r="J10" s="152">
        <v>150060</v>
      </c>
      <c r="K10" s="152">
        <v>88454</v>
      </c>
      <c r="L10" s="250">
        <f>175260+2450+500+31*400</f>
        <v>190610</v>
      </c>
      <c r="M10" s="152">
        <v>0</v>
      </c>
      <c r="N10" s="481">
        <f t="shared" ref="N10" si="2">SUM(L10:M10)</f>
        <v>190610</v>
      </c>
      <c r="O10" s="533">
        <f t="shared" si="1"/>
        <v>127.0225243236039</v>
      </c>
    </row>
    <row r="11" spans="2:15" ht="12.95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87420</v>
      </c>
      <c r="J12" s="154">
        <f t="shared" si="3"/>
        <v>87420</v>
      </c>
      <c r="K12" s="154">
        <f t="shared" si="3"/>
        <v>44397</v>
      </c>
      <c r="L12" s="320">
        <f t="shared" ref="L12:N12" si="4">L13</f>
        <v>93960</v>
      </c>
      <c r="M12" s="154">
        <f t="shared" si="4"/>
        <v>0</v>
      </c>
      <c r="N12" s="480">
        <f t="shared" si="4"/>
        <v>93960</v>
      </c>
      <c r="O12" s="532">
        <f t="shared" si="1"/>
        <v>107.48112560054908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87420</v>
      </c>
      <c r="J13" s="152">
        <v>87420</v>
      </c>
      <c r="K13" s="152">
        <v>44397</v>
      </c>
      <c r="L13" s="250">
        <f>93280+390+290</f>
        <v>93960</v>
      </c>
      <c r="M13" s="152">
        <v>0</v>
      </c>
      <c r="N13" s="481">
        <f>SUM(L13:M13)</f>
        <v>93960</v>
      </c>
      <c r="O13" s="533">
        <f t="shared" si="1"/>
        <v>107.48112560054908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74000</v>
      </c>
      <c r="J15" s="156">
        <f t="shared" si="5"/>
        <v>74000</v>
      </c>
      <c r="K15" s="156">
        <f t="shared" si="5"/>
        <v>38255</v>
      </c>
      <c r="L15" s="320">
        <f>SUM(L16:L24)</f>
        <v>97000</v>
      </c>
      <c r="M15" s="156">
        <f>SUM(M16:M24)</f>
        <v>0</v>
      </c>
      <c r="N15" s="455">
        <f>SUM(N16:N24)</f>
        <v>97000</v>
      </c>
      <c r="O15" s="532">
        <f t="shared" si="1"/>
        <v>131.08108108108107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7500</v>
      </c>
      <c r="J16" s="152">
        <v>7500</v>
      </c>
      <c r="K16" s="152">
        <v>2686</v>
      </c>
      <c r="L16" s="250">
        <v>7500</v>
      </c>
      <c r="M16" s="152">
        <v>0</v>
      </c>
      <c r="N16" s="481">
        <f t="shared" ref="N16:N24" si="6">SUM(L16:M16)</f>
        <v>7500</v>
      </c>
      <c r="O16" s="533">
        <f t="shared" si="1"/>
        <v>100</v>
      </c>
    </row>
    <row r="17" spans="2:18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2000</v>
      </c>
      <c r="J17" s="152">
        <v>2000</v>
      </c>
      <c r="K17" s="152">
        <v>507</v>
      </c>
      <c r="L17" s="250">
        <v>2000</v>
      </c>
      <c r="M17" s="152">
        <v>0</v>
      </c>
      <c r="N17" s="481">
        <f t="shared" si="6"/>
        <v>2000</v>
      </c>
      <c r="O17" s="533">
        <f t="shared" si="1"/>
        <v>100</v>
      </c>
    </row>
    <row r="18" spans="2:18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8000</v>
      </c>
      <c r="J18" s="152">
        <v>8000</v>
      </c>
      <c r="K18" s="152">
        <v>3146</v>
      </c>
      <c r="L18" s="250">
        <v>8000</v>
      </c>
      <c r="M18" s="152">
        <v>0</v>
      </c>
      <c r="N18" s="481">
        <f t="shared" si="6"/>
        <v>8000</v>
      </c>
      <c r="O18" s="533">
        <f t="shared" si="1"/>
        <v>100</v>
      </c>
    </row>
    <row r="19" spans="2:18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4000</v>
      </c>
      <c r="J19" s="152">
        <v>4000</v>
      </c>
      <c r="K19" s="152">
        <v>2114</v>
      </c>
      <c r="L19" s="250">
        <v>4000</v>
      </c>
      <c r="M19" s="152">
        <v>0</v>
      </c>
      <c r="N19" s="481">
        <f t="shared" si="6"/>
        <v>4000</v>
      </c>
      <c r="O19" s="533">
        <f t="shared" si="1"/>
        <v>100</v>
      </c>
    </row>
    <row r="20" spans="2:18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1000</v>
      </c>
      <c r="J20" s="152">
        <v>1000</v>
      </c>
      <c r="K20" s="152">
        <v>0</v>
      </c>
      <c r="L20" s="250">
        <v>1000</v>
      </c>
      <c r="M20" s="152">
        <v>0</v>
      </c>
      <c r="N20" s="481">
        <f t="shared" si="6"/>
        <v>1000</v>
      </c>
      <c r="O20" s="533">
        <f t="shared" si="1"/>
        <v>100</v>
      </c>
    </row>
    <row r="21" spans="2:18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1500</v>
      </c>
      <c r="J21" s="152">
        <v>1500</v>
      </c>
      <c r="K21" s="152">
        <v>1251</v>
      </c>
      <c r="L21" s="250">
        <v>1500</v>
      </c>
      <c r="M21" s="152">
        <v>0</v>
      </c>
      <c r="N21" s="481">
        <f t="shared" si="6"/>
        <v>1500</v>
      </c>
      <c r="O21" s="533">
        <f t="shared" si="1"/>
        <v>100</v>
      </c>
    </row>
    <row r="22" spans="2:18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5000</v>
      </c>
      <c r="J22" s="152">
        <v>5000</v>
      </c>
      <c r="K22" s="152">
        <v>1317</v>
      </c>
      <c r="L22" s="250">
        <v>5000</v>
      </c>
      <c r="M22" s="152">
        <v>0</v>
      </c>
      <c r="N22" s="481">
        <f t="shared" si="6"/>
        <v>5000</v>
      </c>
      <c r="O22" s="533">
        <f t="shared" si="1"/>
        <v>100</v>
      </c>
    </row>
    <row r="23" spans="2:18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6"/>
        <v>0</v>
      </c>
      <c r="O23" s="533" t="str">
        <f t="shared" si="1"/>
        <v/>
      </c>
    </row>
    <row r="24" spans="2:18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45000</v>
      </c>
      <c r="J24" s="152">
        <v>45000</v>
      </c>
      <c r="K24" s="152">
        <v>27234</v>
      </c>
      <c r="L24" s="250">
        <v>68000</v>
      </c>
      <c r="M24" s="152">
        <v>0</v>
      </c>
      <c r="N24" s="481">
        <f t="shared" si="6"/>
        <v>68000</v>
      </c>
      <c r="O24" s="533">
        <f t="shared" si="1"/>
        <v>151.11111111111111</v>
      </c>
      <c r="P24" s="275"/>
    </row>
    <row r="25" spans="2:18" ht="12.95" customHeight="1" x14ac:dyDescent="0.2">
      <c r="B25" s="10"/>
      <c r="C25" s="11"/>
      <c r="D25" s="11"/>
      <c r="E25" s="11"/>
      <c r="F25" s="119"/>
      <c r="G25" s="134"/>
      <c r="H25" s="22"/>
      <c r="I25" s="154"/>
      <c r="J25" s="154"/>
      <c r="K25" s="154"/>
      <c r="L25" s="320"/>
      <c r="M25" s="154"/>
      <c r="N25" s="580"/>
      <c r="O25" s="533" t="str">
        <f t="shared" si="1"/>
        <v/>
      </c>
    </row>
    <row r="26" spans="2:18" s="1" customFormat="1" ht="12.95" customHeight="1" x14ac:dyDescent="0.25">
      <c r="B26" s="12"/>
      <c r="C26" s="8"/>
      <c r="D26" s="8"/>
      <c r="E26" s="8"/>
      <c r="F26" s="118">
        <v>614000</v>
      </c>
      <c r="G26" s="133"/>
      <c r="H26" s="23" t="s">
        <v>434</v>
      </c>
      <c r="I26" s="154">
        <f t="shared" ref="I26:K26" si="7">SUM(I27:I30)</f>
        <v>2400000</v>
      </c>
      <c r="J26" s="154">
        <f t="shared" si="7"/>
        <v>2400000</v>
      </c>
      <c r="K26" s="154">
        <f t="shared" si="7"/>
        <v>5785</v>
      </c>
      <c r="L26" s="320">
        <f t="shared" ref="L26:M26" si="8">SUM(L27:L30)</f>
        <v>1850000</v>
      </c>
      <c r="M26" s="154">
        <f t="shared" si="8"/>
        <v>430000</v>
      </c>
      <c r="N26" s="455">
        <f t="shared" ref="N26" si="9">SUM(N27:N30)</f>
        <v>2280000</v>
      </c>
      <c r="O26" s="532">
        <f t="shared" si="1"/>
        <v>95</v>
      </c>
    </row>
    <row r="27" spans="2:18" s="1" customFormat="1" ht="12.95" customHeight="1" x14ac:dyDescent="0.2">
      <c r="B27" s="12"/>
      <c r="C27" s="8"/>
      <c r="D27" s="23"/>
      <c r="E27" s="23"/>
      <c r="F27" s="119">
        <v>614100</v>
      </c>
      <c r="G27" s="134" t="s">
        <v>445</v>
      </c>
      <c r="H27" s="297" t="s">
        <v>648</v>
      </c>
      <c r="I27" s="155">
        <v>200000</v>
      </c>
      <c r="J27" s="155">
        <v>200000</v>
      </c>
      <c r="K27" s="155">
        <v>5785</v>
      </c>
      <c r="L27" s="251">
        <v>0</v>
      </c>
      <c r="M27" s="155">
        <v>200000</v>
      </c>
      <c r="N27" s="481">
        <f t="shared" ref="N27:N30" si="10">SUM(L27:M27)</f>
        <v>200000</v>
      </c>
      <c r="O27" s="533">
        <f t="shared" si="1"/>
        <v>100</v>
      </c>
    </row>
    <row r="28" spans="2:18" ht="12.95" customHeight="1" x14ac:dyDescent="0.2">
      <c r="B28" s="10"/>
      <c r="C28" s="11"/>
      <c r="D28" s="11"/>
      <c r="E28" s="11"/>
      <c r="F28" s="119">
        <v>614500</v>
      </c>
      <c r="G28" s="134" t="s">
        <v>498</v>
      </c>
      <c r="H28" s="304" t="s">
        <v>649</v>
      </c>
      <c r="I28" s="155">
        <v>1750000</v>
      </c>
      <c r="J28" s="155">
        <v>1750000</v>
      </c>
      <c r="K28" s="155">
        <v>0</v>
      </c>
      <c r="L28" s="251">
        <v>1850000</v>
      </c>
      <c r="M28" s="155">
        <v>0</v>
      </c>
      <c r="N28" s="481">
        <f t="shared" si="10"/>
        <v>1850000</v>
      </c>
      <c r="O28" s="533">
        <f t="shared" si="1"/>
        <v>105.71428571428572</v>
      </c>
      <c r="Q28" s="45"/>
    </row>
    <row r="29" spans="2:18" ht="12.95" customHeight="1" x14ac:dyDescent="0.2">
      <c r="B29" s="10"/>
      <c r="C29" s="11"/>
      <c r="D29" s="11"/>
      <c r="E29" s="11"/>
      <c r="F29" s="119">
        <v>614500</v>
      </c>
      <c r="G29" s="134" t="s">
        <v>500</v>
      </c>
      <c r="H29" s="304" t="s">
        <v>650</v>
      </c>
      <c r="I29" s="155">
        <v>200000</v>
      </c>
      <c r="J29" s="155">
        <v>200000</v>
      </c>
      <c r="K29" s="155">
        <v>0</v>
      </c>
      <c r="L29" s="251">
        <v>0</v>
      </c>
      <c r="M29" s="155">
        <v>100000</v>
      </c>
      <c r="N29" s="481">
        <f t="shared" si="10"/>
        <v>100000</v>
      </c>
      <c r="O29" s="533">
        <f t="shared" si="1"/>
        <v>50</v>
      </c>
      <c r="Q29" s="45"/>
      <c r="R29" s="275"/>
    </row>
    <row r="30" spans="2:18" ht="12.95" customHeight="1" x14ac:dyDescent="0.2">
      <c r="B30" s="10"/>
      <c r="C30" s="11"/>
      <c r="D30" s="11"/>
      <c r="E30" s="11"/>
      <c r="F30" s="119">
        <v>614500</v>
      </c>
      <c r="G30" s="134" t="s">
        <v>502</v>
      </c>
      <c r="H30" s="304" t="s">
        <v>651</v>
      </c>
      <c r="I30" s="155">
        <v>250000</v>
      </c>
      <c r="J30" s="155">
        <v>250000</v>
      </c>
      <c r="K30" s="155">
        <v>0</v>
      </c>
      <c r="L30" s="251">
        <v>0</v>
      </c>
      <c r="M30" s="155">
        <v>130000</v>
      </c>
      <c r="N30" s="481">
        <f t="shared" si="10"/>
        <v>130000</v>
      </c>
      <c r="O30" s="533">
        <f t="shared" si="1"/>
        <v>52</v>
      </c>
    </row>
    <row r="31" spans="2:18" ht="12.95" customHeight="1" x14ac:dyDescent="0.25">
      <c r="B31" s="10"/>
      <c r="C31" s="11"/>
      <c r="D31" s="11"/>
      <c r="E31" s="11"/>
      <c r="F31" s="119"/>
      <c r="G31" s="134"/>
      <c r="H31" s="22"/>
      <c r="I31" s="154"/>
      <c r="J31" s="154"/>
      <c r="K31" s="154"/>
      <c r="L31" s="320"/>
      <c r="M31" s="154"/>
      <c r="N31" s="455"/>
      <c r="O31" s="533" t="str">
        <f t="shared" si="1"/>
        <v/>
      </c>
      <c r="Q31" s="45"/>
    </row>
    <row r="32" spans="2:18" s="1" customFormat="1" ht="12.95" customHeight="1" x14ac:dyDescent="0.25">
      <c r="B32" s="12"/>
      <c r="C32" s="8"/>
      <c r="D32" s="8"/>
      <c r="E32" s="8"/>
      <c r="F32" s="118">
        <v>615000</v>
      </c>
      <c r="G32" s="133"/>
      <c r="H32" s="23" t="s">
        <v>509</v>
      </c>
      <c r="I32" s="154">
        <f t="shared" ref="I32:K32" si="11">SUM(I33:I34)</f>
        <v>450000</v>
      </c>
      <c r="J32" s="154">
        <f t="shared" si="11"/>
        <v>450000</v>
      </c>
      <c r="K32" s="154">
        <f t="shared" si="11"/>
        <v>0</v>
      </c>
      <c r="L32" s="320">
        <f t="shared" ref="L32:M32" si="12">SUM(L33:L34)</f>
        <v>0</v>
      </c>
      <c r="M32" s="154">
        <f t="shared" si="12"/>
        <v>450000</v>
      </c>
      <c r="N32" s="455">
        <f t="shared" ref="N32" si="13">SUM(N33:N34)</f>
        <v>450000</v>
      </c>
      <c r="O32" s="532">
        <f t="shared" si="1"/>
        <v>100</v>
      </c>
    </row>
    <row r="33" spans="2:15" s="1" customFormat="1" ht="12.95" customHeight="1" x14ac:dyDescent="0.2">
      <c r="B33" s="12"/>
      <c r="C33" s="8"/>
      <c r="D33" s="23"/>
      <c r="E33" s="23"/>
      <c r="F33" s="119">
        <v>615100</v>
      </c>
      <c r="G33" s="134" t="s">
        <v>513</v>
      </c>
      <c r="H33" s="297" t="s">
        <v>514</v>
      </c>
      <c r="I33" s="155">
        <v>300000</v>
      </c>
      <c r="J33" s="155">
        <v>300000</v>
      </c>
      <c r="K33" s="155">
        <v>0</v>
      </c>
      <c r="L33" s="251">
        <v>0</v>
      </c>
      <c r="M33" s="155">
        <v>300000</v>
      </c>
      <c r="N33" s="481">
        <f t="shared" ref="N33" si="14">SUM(L33:M33)</f>
        <v>300000</v>
      </c>
      <c r="O33" s="533">
        <f t="shared" si="1"/>
        <v>100</v>
      </c>
    </row>
    <row r="34" spans="2:15" s="1" customFormat="1" ht="12.95" customHeight="1" x14ac:dyDescent="0.2">
      <c r="B34" s="12"/>
      <c r="C34" s="8"/>
      <c r="D34" s="23"/>
      <c r="E34" s="23"/>
      <c r="F34" s="119">
        <v>615100</v>
      </c>
      <c r="G34" s="134" t="s">
        <v>515</v>
      </c>
      <c r="H34" s="297" t="s">
        <v>516</v>
      </c>
      <c r="I34" s="155">
        <v>150000</v>
      </c>
      <c r="J34" s="155">
        <v>150000</v>
      </c>
      <c r="K34" s="155">
        <v>0</v>
      </c>
      <c r="L34" s="251">
        <v>0</v>
      </c>
      <c r="M34" s="155">
        <v>150000</v>
      </c>
      <c r="N34" s="481">
        <f t="shared" ref="N34" si="15">SUM(L34:M34)</f>
        <v>150000</v>
      </c>
      <c r="O34" s="533">
        <f t="shared" si="1"/>
        <v>100</v>
      </c>
    </row>
    <row r="35" spans="2:15" ht="12.95" customHeight="1" x14ac:dyDescent="0.2">
      <c r="B35" s="10"/>
      <c r="C35" s="11"/>
      <c r="D35" s="11"/>
      <c r="E35" s="11"/>
      <c r="F35" s="119"/>
      <c r="G35" s="134"/>
      <c r="H35" s="22"/>
      <c r="I35" s="152"/>
      <c r="J35" s="152"/>
      <c r="K35" s="152"/>
      <c r="L35" s="250"/>
      <c r="M35" s="152"/>
      <c r="N35" s="457"/>
      <c r="O35" s="533" t="str">
        <f t="shared" si="1"/>
        <v/>
      </c>
    </row>
    <row r="36" spans="2:15" s="1" customFormat="1" ht="12.95" customHeight="1" x14ac:dyDescent="0.25">
      <c r="B36" s="12"/>
      <c r="C36" s="8"/>
      <c r="D36" s="8"/>
      <c r="E36" s="8"/>
      <c r="F36" s="118">
        <v>821000</v>
      </c>
      <c r="G36" s="133"/>
      <c r="H36" s="23" t="s">
        <v>526</v>
      </c>
      <c r="I36" s="154">
        <f t="shared" ref="I36:K36" si="16">SUM(I37:I39)</f>
        <v>60000</v>
      </c>
      <c r="J36" s="154">
        <f t="shared" si="16"/>
        <v>60000</v>
      </c>
      <c r="K36" s="154">
        <f t="shared" si="16"/>
        <v>0</v>
      </c>
      <c r="L36" s="320">
        <f t="shared" ref="L36:N36" si="17">SUM(L37:L39)</f>
        <v>12000</v>
      </c>
      <c r="M36" s="154">
        <f t="shared" si="17"/>
        <v>48000</v>
      </c>
      <c r="N36" s="455">
        <f t="shared" si="17"/>
        <v>60000</v>
      </c>
      <c r="O36" s="532">
        <f t="shared" si="1"/>
        <v>100</v>
      </c>
    </row>
    <row r="37" spans="2:15" ht="12.95" customHeight="1" x14ac:dyDescent="0.2">
      <c r="B37" s="10"/>
      <c r="C37" s="11"/>
      <c r="D37" s="11"/>
      <c r="E37" s="11"/>
      <c r="F37" s="119">
        <v>821200</v>
      </c>
      <c r="G37" s="134"/>
      <c r="H37" s="22" t="s">
        <v>528</v>
      </c>
      <c r="I37" s="152">
        <v>0</v>
      </c>
      <c r="J37" s="152">
        <v>0</v>
      </c>
      <c r="K37" s="152">
        <v>0</v>
      </c>
      <c r="L37" s="250">
        <v>0</v>
      </c>
      <c r="M37" s="152">
        <v>0</v>
      </c>
      <c r="N37" s="481">
        <f t="shared" ref="N37:N38" si="18">SUM(L37:M37)</f>
        <v>0</v>
      </c>
      <c r="O37" s="533" t="str">
        <f t="shared" si="1"/>
        <v/>
      </c>
    </row>
    <row r="38" spans="2:15" ht="12.95" customHeight="1" x14ac:dyDescent="0.2">
      <c r="B38" s="10"/>
      <c r="C38" s="11"/>
      <c r="D38" s="11"/>
      <c r="E38" s="11"/>
      <c r="F38" s="119">
        <v>821300</v>
      </c>
      <c r="G38" s="134"/>
      <c r="H38" s="22" t="s">
        <v>529</v>
      </c>
      <c r="I38" s="152">
        <v>60000</v>
      </c>
      <c r="J38" s="152">
        <v>60000</v>
      </c>
      <c r="K38" s="152">
        <v>0</v>
      </c>
      <c r="L38" s="250">
        <v>12000</v>
      </c>
      <c r="M38" s="152">
        <v>48000</v>
      </c>
      <c r="N38" s="481">
        <f t="shared" si="18"/>
        <v>60000</v>
      </c>
      <c r="O38" s="533">
        <f t="shared" si="1"/>
        <v>100</v>
      </c>
    </row>
    <row r="39" spans="2:15" ht="12.95" customHeight="1" x14ac:dyDescent="0.2">
      <c r="B39" s="10"/>
      <c r="C39" s="11"/>
      <c r="D39" s="11"/>
      <c r="E39" s="11"/>
      <c r="F39" s="119"/>
      <c r="G39" s="134"/>
      <c r="H39" s="22"/>
      <c r="I39" s="152"/>
      <c r="J39" s="152"/>
      <c r="K39" s="152"/>
      <c r="L39" s="250"/>
      <c r="M39" s="152"/>
      <c r="N39" s="457"/>
      <c r="O39" s="533" t="str">
        <f t="shared" si="1"/>
        <v/>
      </c>
    </row>
    <row r="40" spans="2:15" s="1" customFormat="1" ht="12.95" customHeight="1" x14ac:dyDescent="0.25">
      <c r="B40" s="12"/>
      <c r="C40" s="8"/>
      <c r="D40" s="8"/>
      <c r="E40" s="8"/>
      <c r="F40" s="118"/>
      <c r="G40" s="133"/>
      <c r="H40" s="23" t="s">
        <v>540</v>
      </c>
      <c r="I40" s="266" t="s">
        <v>652</v>
      </c>
      <c r="J40" s="266" t="s">
        <v>652</v>
      </c>
      <c r="K40" s="266" t="s">
        <v>653</v>
      </c>
      <c r="L40" s="322" t="s">
        <v>654</v>
      </c>
      <c r="M40" s="266"/>
      <c r="N40" s="450" t="s">
        <v>654</v>
      </c>
      <c r="O40" s="533"/>
    </row>
    <row r="41" spans="2:15" s="1" customFormat="1" ht="12.95" customHeight="1" x14ac:dyDescent="0.25">
      <c r="B41" s="12"/>
      <c r="C41" s="8"/>
      <c r="D41" s="8"/>
      <c r="E41" s="8"/>
      <c r="F41" s="118"/>
      <c r="G41" s="133"/>
      <c r="H41" s="8" t="s">
        <v>557</v>
      </c>
      <c r="I41" s="256">
        <f t="shared" ref="I41:N41" si="19">I8+I12+I15+I26+I32+I36</f>
        <v>4053960</v>
      </c>
      <c r="J41" s="14">
        <f t="shared" si="19"/>
        <v>4053960</v>
      </c>
      <c r="K41" s="14">
        <f t="shared" si="19"/>
        <v>597455</v>
      </c>
      <c r="L41" s="259">
        <f t="shared" si="19"/>
        <v>3132100</v>
      </c>
      <c r="M41" s="14">
        <f t="shared" si="19"/>
        <v>928000</v>
      </c>
      <c r="N41" s="455">
        <f t="shared" si="19"/>
        <v>4060100</v>
      </c>
      <c r="O41" s="532">
        <f>IF(J41=0,"",N41/J41*100)</f>
        <v>100.15145684713218</v>
      </c>
    </row>
    <row r="42" spans="2:15" s="1" customFormat="1" ht="12.95" customHeight="1" x14ac:dyDescent="0.25">
      <c r="B42" s="12"/>
      <c r="C42" s="8"/>
      <c r="D42" s="8"/>
      <c r="E42" s="8"/>
      <c r="F42" s="118"/>
      <c r="G42" s="133"/>
      <c r="H42" s="8" t="s">
        <v>558</v>
      </c>
      <c r="I42" s="14">
        <f t="shared" ref="I42:J43" si="20">I41</f>
        <v>4053960</v>
      </c>
      <c r="J42" s="14">
        <f t="shared" si="20"/>
        <v>4053960</v>
      </c>
      <c r="K42" s="14">
        <f t="shared" ref="K42" si="21">K41</f>
        <v>597455</v>
      </c>
      <c r="L42" s="259">
        <f t="shared" ref="L42:N43" si="22">L41</f>
        <v>3132100</v>
      </c>
      <c r="M42" s="14">
        <f t="shared" si="22"/>
        <v>928000</v>
      </c>
      <c r="N42" s="455">
        <f t="shared" si="22"/>
        <v>4060100</v>
      </c>
      <c r="O42" s="532">
        <f>IF(J42=0,"",N42/J42*100)</f>
        <v>100.15145684713218</v>
      </c>
    </row>
    <row r="43" spans="2:15" s="1" customFormat="1" ht="12.95" customHeight="1" x14ac:dyDescent="0.25">
      <c r="B43" s="12"/>
      <c r="C43" s="8"/>
      <c r="D43" s="8"/>
      <c r="E43" s="8"/>
      <c r="F43" s="118"/>
      <c r="G43" s="133"/>
      <c r="H43" s="8" t="s">
        <v>559</v>
      </c>
      <c r="I43" s="14">
        <f t="shared" si="20"/>
        <v>4053960</v>
      </c>
      <c r="J43" s="14">
        <f t="shared" si="20"/>
        <v>4053960</v>
      </c>
      <c r="K43" s="14">
        <f t="shared" ref="K43" si="23">K42</f>
        <v>597455</v>
      </c>
      <c r="L43" s="259">
        <f t="shared" si="22"/>
        <v>3132100</v>
      </c>
      <c r="M43" s="14">
        <f t="shared" si="22"/>
        <v>928000</v>
      </c>
      <c r="N43" s="455">
        <f t="shared" si="22"/>
        <v>4060100</v>
      </c>
      <c r="O43" s="532">
        <f>IF(J43=0,"",N43/J43*100)</f>
        <v>100.15145684713218</v>
      </c>
    </row>
    <row r="44" spans="2:15" ht="12.95" customHeight="1" thickBot="1" x14ac:dyDescent="0.25">
      <c r="B44" s="15"/>
      <c r="C44" s="16"/>
      <c r="D44" s="16"/>
      <c r="E44" s="16"/>
      <c r="F44" s="120"/>
      <c r="G44" s="135"/>
      <c r="H44" s="16"/>
      <c r="I44" s="29"/>
      <c r="J44" s="29"/>
      <c r="K44" s="29"/>
      <c r="L44" s="260"/>
      <c r="M44" s="29"/>
      <c r="N44" s="482"/>
      <c r="O44" s="534"/>
    </row>
    <row r="45" spans="2:15" ht="12.95" customHeight="1" x14ac:dyDescent="0.2">
      <c r="F45" s="121"/>
      <c r="G45" s="136"/>
      <c r="L45" s="500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2.95" customHeight="1" x14ac:dyDescent="0.2">
      <c r="F58" s="121"/>
      <c r="G58" s="136"/>
      <c r="N58" s="162"/>
    </row>
    <row r="59" spans="6:14" ht="12.95" customHeight="1" x14ac:dyDescent="0.2">
      <c r="F59" s="121"/>
      <c r="G59" s="136"/>
      <c r="N59" s="162"/>
    </row>
    <row r="60" spans="6:14" ht="12.95" customHeight="1" x14ac:dyDescent="0.2">
      <c r="F60" s="121"/>
      <c r="G60" s="136"/>
      <c r="N60" s="162"/>
    </row>
    <row r="61" spans="6:14" ht="12.95" customHeight="1" x14ac:dyDescent="0.2">
      <c r="F61" s="121"/>
      <c r="G61" s="136"/>
      <c r="N61" s="162"/>
    </row>
    <row r="62" spans="6:14" ht="17.100000000000001" customHeight="1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36"/>
      <c r="N72" s="162"/>
    </row>
    <row r="73" spans="6:14" ht="14.25" x14ac:dyDescent="0.2">
      <c r="F73" s="121"/>
      <c r="G73" s="136"/>
      <c r="N73" s="162"/>
    </row>
    <row r="74" spans="6:14" ht="14.25" x14ac:dyDescent="0.2">
      <c r="F74" s="121"/>
      <c r="G74" s="136"/>
      <c r="N74" s="162"/>
    </row>
    <row r="75" spans="6:14" ht="14.25" x14ac:dyDescent="0.2">
      <c r="F75" s="121"/>
      <c r="G75" s="136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ht="14.25" x14ac:dyDescent="0.2">
      <c r="F89" s="121"/>
      <c r="G89" s="121"/>
      <c r="N89" s="162"/>
    </row>
    <row r="90" spans="6:14" ht="14.25" x14ac:dyDescent="0.2">
      <c r="F90" s="121"/>
      <c r="G90" s="121"/>
      <c r="N90" s="162"/>
    </row>
    <row r="91" spans="6:14" ht="14.25" x14ac:dyDescent="0.2">
      <c r="F91" s="121"/>
      <c r="G91" s="121"/>
      <c r="N91" s="162"/>
    </row>
    <row r="92" spans="6:14" ht="14.25" x14ac:dyDescent="0.2">
      <c r="F92" s="121"/>
      <c r="G92" s="121"/>
      <c r="N92" s="162"/>
    </row>
    <row r="93" spans="6:14" x14ac:dyDescent="0.2">
      <c r="G93" s="121"/>
    </row>
    <row r="94" spans="6:14" x14ac:dyDescent="0.2">
      <c r="G94" s="121"/>
    </row>
    <row r="95" spans="6:14" x14ac:dyDescent="0.2">
      <c r="G95" s="121"/>
    </row>
    <row r="96" spans="6:14" x14ac:dyDescent="0.2">
      <c r="G96" s="121"/>
    </row>
    <row r="97" spans="7:7" x14ac:dyDescent="0.2">
      <c r="G97" s="121"/>
    </row>
    <row r="98" spans="7:7" x14ac:dyDescent="0.2">
      <c r="G98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3"/>
  <dimension ref="B1:Q87"/>
  <sheetViews>
    <sheetView topLeftCell="I1" zoomScaleNormal="100" zoomScaleSheetLayoutView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655</v>
      </c>
      <c r="C2" s="639"/>
      <c r="D2" s="639"/>
      <c r="E2" s="639"/>
      <c r="F2" s="639"/>
      <c r="G2" s="639"/>
      <c r="H2" s="639"/>
      <c r="I2" s="639"/>
      <c r="J2" s="666"/>
      <c r="K2" s="666"/>
      <c r="L2" s="666"/>
      <c r="M2" s="666"/>
      <c r="N2" s="666"/>
      <c r="O2" s="659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42" customFormat="1" ht="11.1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656</v>
      </c>
      <c r="C7" s="7" t="s">
        <v>554</v>
      </c>
      <c r="D7" s="7" t="s">
        <v>555</v>
      </c>
      <c r="E7" s="285" t="s">
        <v>657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263">
        <f t="shared" ref="I8:K8" si="0">SUM(I9:I11)</f>
        <v>569470</v>
      </c>
      <c r="J8" s="263">
        <f t="shared" si="0"/>
        <v>569470</v>
      </c>
      <c r="K8" s="263">
        <f t="shared" si="0"/>
        <v>284090</v>
      </c>
      <c r="L8" s="323">
        <f>SUM(L9:L11)</f>
        <v>588050</v>
      </c>
      <c r="M8" s="263">
        <f>SUM(M9:M11)</f>
        <v>0</v>
      </c>
      <c r="N8" s="480">
        <f>SUM(N9:N11)</f>
        <v>588050</v>
      </c>
      <c r="O8" s="532">
        <f t="shared" ref="O8:O44" si="1">IF(J8=0,"",N8/J8*100)</f>
        <v>103.26268284545279</v>
      </c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3">
        <v>480960</v>
      </c>
      <c r="J9" s="153">
        <v>480960</v>
      </c>
      <c r="K9" s="153">
        <v>241361</v>
      </c>
      <c r="L9" s="252">
        <f>494130-3*2600+500</f>
        <v>486830</v>
      </c>
      <c r="M9" s="153">
        <v>0</v>
      </c>
      <c r="N9" s="481">
        <f>SUM(L9:M9)</f>
        <v>486830</v>
      </c>
      <c r="O9" s="533">
        <f t="shared" si="1"/>
        <v>101.2204757152362</v>
      </c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3">
        <v>88510</v>
      </c>
      <c r="J10" s="153">
        <v>88510</v>
      </c>
      <c r="K10" s="153">
        <v>42729</v>
      </c>
      <c r="L10" s="252">
        <f>96520-3*300+14*400</f>
        <v>101220</v>
      </c>
      <c r="M10" s="153">
        <v>0</v>
      </c>
      <c r="N10" s="481">
        <f t="shared" ref="N10" si="2">SUM(L10:M10)</f>
        <v>101220</v>
      </c>
      <c r="O10" s="533">
        <f t="shared" si="1"/>
        <v>114.35995932662976</v>
      </c>
      <c r="Q10" s="45"/>
    </row>
    <row r="11" spans="2:17" ht="8.1" customHeight="1" x14ac:dyDescent="0.2">
      <c r="B11" s="10"/>
      <c r="C11" s="11"/>
      <c r="D11" s="11"/>
      <c r="E11" s="11"/>
      <c r="F11" s="119"/>
      <c r="G11" s="134"/>
      <c r="H11" s="22"/>
      <c r="I11" s="153"/>
      <c r="J11" s="153"/>
      <c r="K11" s="153"/>
      <c r="L11" s="252"/>
      <c r="M11" s="153"/>
      <c r="N11" s="481"/>
      <c r="O11" s="533" t="str">
        <f t="shared" si="1"/>
        <v/>
      </c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263">
        <f t="shared" ref="I12:K12" si="3">I13</f>
        <v>50540</v>
      </c>
      <c r="J12" s="263">
        <f t="shared" si="3"/>
        <v>50540</v>
      </c>
      <c r="K12" s="263">
        <f t="shared" si="3"/>
        <v>25065</v>
      </c>
      <c r="L12" s="323">
        <f t="shared" ref="L12" si="4">L13</f>
        <v>50900</v>
      </c>
      <c r="M12" s="263">
        <f>M13</f>
        <v>0</v>
      </c>
      <c r="N12" s="480">
        <f>N13</f>
        <v>50900</v>
      </c>
      <c r="O12" s="532">
        <f t="shared" si="1"/>
        <v>100.7123070834982</v>
      </c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3">
        <v>50540</v>
      </c>
      <c r="J13" s="153">
        <v>50540</v>
      </c>
      <c r="K13" s="153">
        <v>25065</v>
      </c>
      <c r="L13" s="252">
        <f>51640-3*280+100</f>
        <v>50900</v>
      </c>
      <c r="M13" s="153">
        <v>0</v>
      </c>
      <c r="N13" s="481">
        <f>SUM(L13:M13)</f>
        <v>50900</v>
      </c>
      <c r="O13" s="533">
        <f t="shared" si="1"/>
        <v>100.7123070834982</v>
      </c>
    </row>
    <row r="14" spans="2:17" ht="8.1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7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4">
        <f t="shared" ref="I15:J15" si="5">SUM(I16:I28)</f>
        <v>881670</v>
      </c>
      <c r="J15" s="154">
        <f t="shared" si="5"/>
        <v>1220454</v>
      </c>
      <c r="K15" s="154">
        <f>SUM(K16:K28)</f>
        <v>458475</v>
      </c>
      <c r="L15" s="320">
        <f>SUM(L16:L28)</f>
        <v>892080</v>
      </c>
      <c r="M15" s="154">
        <f>SUM(M16:M28)</f>
        <v>331720</v>
      </c>
      <c r="N15" s="455">
        <f>SUM(N16:N28)</f>
        <v>1223800</v>
      </c>
      <c r="O15" s="532">
        <f t="shared" si="1"/>
        <v>100.27416027150554</v>
      </c>
    </row>
    <row r="16" spans="2:17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7500</v>
      </c>
      <c r="J16" s="155">
        <v>7500</v>
      </c>
      <c r="K16" s="155">
        <v>5539</v>
      </c>
      <c r="L16" s="251">
        <v>11000</v>
      </c>
      <c r="M16" s="155">
        <v>0</v>
      </c>
      <c r="N16" s="481">
        <f t="shared" ref="N16:N28" si="6">SUM(L16:M16)</f>
        <v>11000</v>
      </c>
      <c r="O16" s="533">
        <f t="shared" si="1"/>
        <v>146.66666666666666</v>
      </c>
    </row>
    <row r="17" spans="2:16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0</v>
      </c>
      <c r="J17" s="155">
        <v>0</v>
      </c>
      <c r="K17" s="155">
        <v>0</v>
      </c>
      <c r="L17" s="251">
        <v>0</v>
      </c>
      <c r="M17" s="155">
        <v>0</v>
      </c>
      <c r="N17" s="481">
        <f t="shared" si="6"/>
        <v>0</v>
      </c>
      <c r="O17" s="533" t="str">
        <f t="shared" si="1"/>
        <v/>
      </c>
    </row>
    <row r="18" spans="2:16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4000</v>
      </c>
      <c r="J18" s="155">
        <v>4000</v>
      </c>
      <c r="K18" s="155">
        <v>1676</v>
      </c>
      <c r="L18" s="251">
        <v>3200</v>
      </c>
      <c r="M18" s="155">
        <v>0</v>
      </c>
      <c r="N18" s="481">
        <f t="shared" si="6"/>
        <v>3200</v>
      </c>
      <c r="O18" s="533">
        <f t="shared" si="1"/>
        <v>80</v>
      </c>
    </row>
    <row r="19" spans="2:16" ht="12.7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5000</v>
      </c>
      <c r="J19" s="155">
        <v>347784</v>
      </c>
      <c r="K19" s="155">
        <v>4422</v>
      </c>
      <c r="L19" s="251">
        <v>11000</v>
      </c>
      <c r="M19" s="155">
        <v>331720</v>
      </c>
      <c r="N19" s="481">
        <f t="shared" si="6"/>
        <v>342720</v>
      </c>
      <c r="O19" s="533">
        <f t="shared" si="1"/>
        <v>98.543923814781593</v>
      </c>
    </row>
    <row r="20" spans="2:16" ht="12.75" customHeight="1" x14ac:dyDescent="0.2">
      <c r="B20" s="10"/>
      <c r="C20" s="11"/>
      <c r="D20" s="11"/>
      <c r="E20" s="346" t="s">
        <v>658</v>
      </c>
      <c r="F20" s="122">
        <v>613400</v>
      </c>
      <c r="G20" s="137" t="s">
        <v>406</v>
      </c>
      <c r="H20" s="305" t="s">
        <v>659</v>
      </c>
      <c r="I20" s="272">
        <v>719780</v>
      </c>
      <c r="J20" s="272">
        <v>719780</v>
      </c>
      <c r="K20" s="272">
        <v>397603</v>
      </c>
      <c r="L20" s="325">
        <v>724490</v>
      </c>
      <c r="M20" s="272">
        <v>0</v>
      </c>
      <c r="N20" s="495">
        <f t="shared" ref="N20" si="7">SUM(L20:M20)</f>
        <v>724490</v>
      </c>
      <c r="O20" s="533">
        <f t="shared" si="1"/>
        <v>100.65436661202034</v>
      </c>
    </row>
    <row r="21" spans="2:16" ht="12.95" customHeight="1" x14ac:dyDescent="0.2">
      <c r="B21" s="10"/>
      <c r="C21" s="11"/>
      <c r="D21" s="11"/>
      <c r="E21" s="11"/>
      <c r="F21" s="119">
        <v>613500</v>
      </c>
      <c r="G21" s="134"/>
      <c r="H21" s="22" t="s">
        <v>408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6" ht="12.95" customHeight="1" x14ac:dyDescent="0.2">
      <c r="B22" s="10"/>
      <c r="C22" s="11"/>
      <c r="D22" s="11"/>
      <c r="E22" s="11"/>
      <c r="F22" s="119">
        <v>613600</v>
      </c>
      <c r="G22" s="134"/>
      <c r="H22" s="22" t="s">
        <v>409</v>
      </c>
      <c r="I22" s="155">
        <v>0</v>
      </c>
      <c r="J22" s="155">
        <v>0</v>
      </c>
      <c r="K22" s="155">
        <v>0</v>
      </c>
      <c r="L22" s="251">
        <v>0</v>
      </c>
      <c r="M22" s="155">
        <v>0</v>
      </c>
      <c r="N22" s="481">
        <f t="shared" si="6"/>
        <v>0</v>
      </c>
      <c r="O22" s="533" t="str">
        <f t="shared" si="1"/>
        <v/>
      </c>
    </row>
    <row r="23" spans="2:16" ht="12.95" customHeight="1" x14ac:dyDescent="0.2">
      <c r="B23" s="10"/>
      <c r="C23" s="11"/>
      <c r="D23" s="11"/>
      <c r="E23" s="11"/>
      <c r="F23" s="119">
        <v>613700</v>
      </c>
      <c r="G23" s="134"/>
      <c r="H23" s="22" t="s">
        <v>410</v>
      </c>
      <c r="I23" s="155">
        <v>5000</v>
      </c>
      <c r="J23" s="155">
        <v>5000</v>
      </c>
      <c r="K23" s="155">
        <v>2180</v>
      </c>
      <c r="L23" s="251">
        <v>7000</v>
      </c>
      <c r="M23" s="155">
        <v>0</v>
      </c>
      <c r="N23" s="481">
        <f t="shared" si="6"/>
        <v>7000</v>
      </c>
      <c r="O23" s="533">
        <f t="shared" si="1"/>
        <v>140</v>
      </c>
    </row>
    <row r="24" spans="2:16" ht="12.95" customHeight="1" x14ac:dyDescent="0.2">
      <c r="B24" s="10"/>
      <c r="C24" s="11"/>
      <c r="D24" s="11"/>
      <c r="E24" s="11"/>
      <c r="F24" s="119">
        <v>613800</v>
      </c>
      <c r="G24" s="134"/>
      <c r="H24" s="22" t="s">
        <v>414</v>
      </c>
      <c r="I24" s="155">
        <v>390</v>
      </c>
      <c r="J24" s="155">
        <v>390</v>
      </c>
      <c r="K24" s="155">
        <v>195</v>
      </c>
      <c r="L24" s="251">
        <v>390</v>
      </c>
      <c r="M24" s="155">
        <v>0</v>
      </c>
      <c r="N24" s="481">
        <f t="shared" si="6"/>
        <v>390</v>
      </c>
      <c r="O24" s="533">
        <f t="shared" si="1"/>
        <v>100</v>
      </c>
    </row>
    <row r="25" spans="2:16" ht="12.95" customHeight="1" x14ac:dyDescent="0.2">
      <c r="B25" s="10"/>
      <c r="C25" s="11"/>
      <c r="D25" s="11"/>
      <c r="E25" s="11"/>
      <c r="F25" s="119">
        <v>613800</v>
      </c>
      <c r="G25" s="134"/>
      <c r="H25" s="22" t="s">
        <v>660</v>
      </c>
      <c r="I25" s="155">
        <v>0</v>
      </c>
      <c r="J25" s="155">
        <v>0</v>
      </c>
      <c r="K25" s="155">
        <v>0</v>
      </c>
      <c r="L25" s="251">
        <v>0</v>
      </c>
      <c r="M25" s="155">
        <v>0</v>
      </c>
      <c r="N25" s="582">
        <f t="shared" si="6"/>
        <v>0</v>
      </c>
      <c r="O25" s="533" t="str">
        <f t="shared" si="1"/>
        <v/>
      </c>
    </row>
    <row r="26" spans="2:16" ht="12.95" customHeight="1" x14ac:dyDescent="0.2">
      <c r="B26" s="10"/>
      <c r="C26" s="11"/>
      <c r="D26" s="11"/>
      <c r="E26" s="11"/>
      <c r="F26" s="119">
        <v>613900</v>
      </c>
      <c r="G26" s="134"/>
      <c r="H26" s="22" t="s">
        <v>417</v>
      </c>
      <c r="I26" s="155">
        <v>40000</v>
      </c>
      <c r="J26" s="155">
        <v>36000</v>
      </c>
      <c r="K26" s="155">
        <f>26913-2716</f>
        <v>24197</v>
      </c>
      <c r="L26" s="251">
        <v>36000</v>
      </c>
      <c r="M26" s="155">
        <v>0</v>
      </c>
      <c r="N26" s="481">
        <f t="shared" si="6"/>
        <v>36000</v>
      </c>
      <c r="O26" s="533">
        <f t="shared" si="1"/>
        <v>100</v>
      </c>
    </row>
    <row r="27" spans="2:16" ht="12.95" customHeight="1" x14ac:dyDescent="0.2">
      <c r="B27" s="10"/>
      <c r="C27" s="11"/>
      <c r="D27" s="11"/>
      <c r="E27" s="11"/>
      <c r="F27" s="119">
        <v>613900</v>
      </c>
      <c r="G27" s="134" t="s">
        <v>425</v>
      </c>
      <c r="H27" s="22" t="s">
        <v>661</v>
      </c>
      <c r="I27" s="155">
        <v>55000</v>
      </c>
      <c r="J27" s="155">
        <v>55000</v>
      </c>
      <c r="K27" s="155">
        <v>19947</v>
      </c>
      <c r="L27" s="251">
        <v>51000</v>
      </c>
      <c r="M27" s="155">
        <v>0</v>
      </c>
      <c r="N27" s="481">
        <f t="shared" si="6"/>
        <v>51000</v>
      </c>
      <c r="O27" s="533">
        <f t="shared" si="1"/>
        <v>92.72727272727272</v>
      </c>
    </row>
    <row r="28" spans="2:16" ht="24.75" customHeight="1" x14ac:dyDescent="0.2">
      <c r="B28" s="10"/>
      <c r="C28" s="11"/>
      <c r="D28" s="11"/>
      <c r="E28" s="11"/>
      <c r="F28" s="122">
        <v>613900</v>
      </c>
      <c r="G28" s="137" t="s">
        <v>432</v>
      </c>
      <c r="H28" s="305" t="s">
        <v>662</v>
      </c>
      <c r="I28" s="272">
        <v>45000</v>
      </c>
      <c r="J28" s="272">
        <v>45000</v>
      </c>
      <c r="K28" s="552">
        <f>2716</f>
        <v>2716</v>
      </c>
      <c r="L28" s="553">
        <v>48000</v>
      </c>
      <c r="M28" s="552">
        <v>0</v>
      </c>
      <c r="N28" s="554">
        <f t="shared" si="6"/>
        <v>48000</v>
      </c>
      <c r="O28" s="555">
        <f t="shared" si="1"/>
        <v>106.66666666666667</v>
      </c>
    </row>
    <row r="29" spans="2:16" ht="8.1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6" s="1" customFormat="1" ht="12.95" customHeight="1" x14ac:dyDescent="0.25">
      <c r="B30" s="12"/>
      <c r="C30" s="8"/>
      <c r="D30" s="8"/>
      <c r="E30" s="286"/>
      <c r="F30" s="118">
        <v>614000</v>
      </c>
      <c r="G30" s="133"/>
      <c r="H30" s="23" t="s">
        <v>434</v>
      </c>
      <c r="I30" s="154">
        <f t="shared" ref="I30:K30" si="8">SUM(I31:I39)</f>
        <v>2306000</v>
      </c>
      <c r="J30" s="154">
        <f t="shared" si="8"/>
        <v>2306000</v>
      </c>
      <c r="K30" s="154">
        <f t="shared" si="8"/>
        <v>662149</v>
      </c>
      <c r="L30" s="320">
        <f>SUM(L31:L39)</f>
        <v>2362000</v>
      </c>
      <c r="M30" s="154">
        <f>SUM(M31:M39)</f>
        <v>0</v>
      </c>
      <c r="N30" s="455">
        <f>SUM(N31:N39)</f>
        <v>2362000</v>
      </c>
      <c r="O30" s="532">
        <f t="shared" si="1"/>
        <v>102.42844752818733</v>
      </c>
    </row>
    <row r="31" spans="2:16" s="63" customFormat="1" ht="12.75" customHeight="1" x14ac:dyDescent="0.2">
      <c r="B31" s="60"/>
      <c r="C31" s="61"/>
      <c r="D31" s="62"/>
      <c r="E31" s="287" t="s">
        <v>663</v>
      </c>
      <c r="F31" s="122">
        <v>614100</v>
      </c>
      <c r="G31" s="137" t="s">
        <v>447</v>
      </c>
      <c r="H31" s="341" t="s">
        <v>664</v>
      </c>
      <c r="I31" s="272">
        <v>120000</v>
      </c>
      <c r="J31" s="272">
        <v>120000</v>
      </c>
      <c r="K31" s="272">
        <v>50850</v>
      </c>
      <c r="L31" s="325">
        <v>120000</v>
      </c>
      <c r="M31" s="272">
        <v>0</v>
      </c>
      <c r="N31" s="481">
        <f t="shared" ref="N31:N37" si="9">SUM(L31:M31)</f>
        <v>120000</v>
      </c>
      <c r="O31" s="533">
        <f t="shared" si="1"/>
        <v>100</v>
      </c>
      <c r="P31" s="577"/>
    </row>
    <row r="32" spans="2:16" ht="12.75" customHeight="1" x14ac:dyDescent="0.2">
      <c r="B32" s="10"/>
      <c r="C32" s="11"/>
      <c r="D32" s="11"/>
      <c r="E32" s="288"/>
      <c r="F32" s="123">
        <v>614100</v>
      </c>
      <c r="G32" s="138" t="s">
        <v>450</v>
      </c>
      <c r="H32" s="304" t="s">
        <v>665</v>
      </c>
      <c r="I32" s="155">
        <v>400000</v>
      </c>
      <c r="J32" s="155">
        <v>400000</v>
      </c>
      <c r="K32" s="155">
        <v>193767</v>
      </c>
      <c r="L32" s="251">
        <v>408000</v>
      </c>
      <c r="M32" s="155">
        <v>0</v>
      </c>
      <c r="N32" s="481">
        <f t="shared" si="9"/>
        <v>408000</v>
      </c>
      <c r="O32" s="533">
        <f t="shared" si="1"/>
        <v>102</v>
      </c>
    </row>
    <row r="33" spans="2:17" ht="12.95" customHeight="1" x14ac:dyDescent="0.2">
      <c r="B33" s="10"/>
      <c r="C33" s="11"/>
      <c r="D33" s="11"/>
      <c r="E33" s="289" t="s">
        <v>663</v>
      </c>
      <c r="F33" s="119">
        <v>614200</v>
      </c>
      <c r="G33" s="134" t="s">
        <v>462</v>
      </c>
      <c r="H33" s="304" t="s">
        <v>666</v>
      </c>
      <c r="I33" s="155">
        <v>186000</v>
      </c>
      <c r="J33" s="155">
        <v>186000</v>
      </c>
      <c r="K33" s="155">
        <v>93000</v>
      </c>
      <c r="L33" s="251">
        <v>200000</v>
      </c>
      <c r="M33" s="155">
        <v>0</v>
      </c>
      <c r="N33" s="481">
        <f t="shared" si="9"/>
        <v>200000</v>
      </c>
      <c r="O33" s="533">
        <f t="shared" si="1"/>
        <v>107.5268817204301</v>
      </c>
    </row>
    <row r="34" spans="2:17" s="63" customFormat="1" ht="25.5" customHeight="1" x14ac:dyDescent="0.2">
      <c r="B34" s="60"/>
      <c r="C34" s="61"/>
      <c r="D34" s="61"/>
      <c r="E34" s="290" t="s">
        <v>667</v>
      </c>
      <c r="F34" s="122">
        <v>614200</v>
      </c>
      <c r="G34" s="137" t="s">
        <v>464</v>
      </c>
      <c r="H34" s="342" t="s">
        <v>668</v>
      </c>
      <c r="I34" s="272">
        <v>40000</v>
      </c>
      <c r="J34" s="272">
        <v>40000</v>
      </c>
      <c r="K34" s="272">
        <v>0</v>
      </c>
      <c r="L34" s="325">
        <v>34000</v>
      </c>
      <c r="M34" s="272">
        <v>0</v>
      </c>
      <c r="N34" s="495">
        <f t="shared" ref="N34" si="10">SUM(L34:M34)</f>
        <v>34000</v>
      </c>
      <c r="O34" s="533">
        <f t="shared" si="1"/>
        <v>85</v>
      </c>
    </row>
    <row r="35" spans="2:17" ht="12.95" customHeight="1" x14ac:dyDescent="0.2">
      <c r="B35" s="10"/>
      <c r="C35" s="11"/>
      <c r="D35" s="11"/>
      <c r="E35" s="289" t="s">
        <v>658</v>
      </c>
      <c r="F35" s="119">
        <v>614200</v>
      </c>
      <c r="G35" s="134" t="s">
        <v>466</v>
      </c>
      <c r="H35" s="304" t="s">
        <v>669</v>
      </c>
      <c r="I35" s="155">
        <v>250000</v>
      </c>
      <c r="J35" s="155">
        <v>250000</v>
      </c>
      <c r="K35" s="155">
        <v>0</v>
      </c>
      <c r="L35" s="251">
        <v>250000</v>
      </c>
      <c r="M35" s="155">
        <v>0</v>
      </c>
      <c r="N35" s="481">
        <f t="shared" ref="N35" si="11">SUM(L35:M35)</f>
        <v>250000</v>
      </c>
      <c r="O35" s="533">
        <f t="shared" si="1"/>
        <v>100</v>
      </c>
    </row>
    <row r="36" spans="2:17" ht="12.95" customHeight="1" x14ac:dyDescent="0.2">
      <c r="B36" s="10"/>
      <c r="C36" s="11"/>
      <c r="D36" s="11"/>
      <c r="E36" s="289" t="s">
        <v>670</v>
      </c>
      <c r="F36" s="119">
        <v>614300</v>
      </c>
      <c r="G36" s="134" t="s">
        <v>486</v>
      </c>
      <c r="H36" s="304" t="s">
        <v>671</v>
      </c>
      <c r="I36" s="155">
        <v>410000</v>
      </c>
      <c r="J36" s="155">
        <v>410000</v>
      </c>
      <c r="K36" s="155">
        <v>111032</v>
      </c>
      <c r="L36" s="251">
        <v>450000</v>
      </c>
      <c r="M36" s="155">
        <v>0</v>
      </c>
      <c r="N36" s="481">
        <f t="shared" si="9"/>
        <v>450000</v>
      </c>
      <c r="O36" s="533">
        <f t="shared" si="1"/>
        <v>109.75609756097562</v>
      </c>
    </row>
    <row r="37" spans="2:17" ht="12.95" customHeight="1" x14ac:dyDescent="0.2">
      <c r="B37" s="10"/>
      <c r="C37" s="11"/>
      <c r="D37" s="11"/>
      <c r="E37" s="289" t="s">
        <v>672</v>
      </c>
      <c r="F37" s="119">
        <v>614300</v>
      </c>
      <c r="G37" s="134" t="s">
        <v>488</v>
      </c>
      <c r="H37" s="304" t="s">
        <v>673</v>
      </c>
      <c r="I37" s="155">
        <v>300000</v>
      </c>
      <c r="J37" s="155">
        <v>300000</v>
      </c>
      <c r="K37" s="155">
        <v>17000</v>
      </c>
      <c r="L37" s="251">
        <v>300000</v>
      </c>
      <c r="M37" s="155">
        <v>0</v>
      </c>
      <c r="N37" s="481">
        <f t="shared" si="9"/>
        <v>300000</v>
      </c>
      <c r="O37" s="533">
        <f t="shared" si="1"/>
        <v>100</v>
      </c>
      <c r="P37" s="275"/>
    </row>
    <row r="38" spans="2:17" ht="12.95" customHeight="1" x14ac:dyDescent="0.2">
      <c r="B38" s="10"/>
      <c r="C38" s="11"/>
      <c r="D38" s="11"/>
      <c r="E38" s="288" t="s">
        <v>674</v>
      </c>
      <c r="F38" s="123">
        <v>614300</v>
      </c>
      <c r="G38" s="138" t="s">
        <v>490</v>
      </c>
      <c r="H38" s="343" t="s">
        <v>675</v>
      </c>
      <c r="I38" s="155">
        <v>450000</v>
      </c>
      <c r="J38" s="155">
        <v>450000</v>
      </c>
      <c r="K38" s="155">
        <v>180600</v>
      </c>
      <c r="L38" s="251">
        <v>450000</v>
      </c>
      <c r="M38" s="155">
        <v>0</v>
      </c>
      <c r="N38" s="481">
        <f t="shared" ref="N38:N39" si="12">SUM(L38:M38)</f>
        <v>450000</v>
      </c>
      <c r="O38" s="533">
        <f t="shared" si="1"/>
        <v>100</v>
      </c>
    </row>
    <row r="39" spans="2:17" ht="12.95" customHeight="1" x14ac:dyDescent="0.2">
      <c r="B39" s="10"/>
      <c r="C39" s="11"/>
      <c r="D39" s="11"/>
      <c r="E39" s="288" t="s">
        <v>676</v>
      </c>
      <c r="F39" s="123">
        <v>614300</v>
      </c>
      <c r="G39" s="138" t="s">
        <v>492</v>
      </c>
      <c r="H39" s="343" t="s">
        <v>677</v>
      </c>
      <c r="I39" s="155">
        <v>150000</v>
      </c>
      <c r="J39" s="155">
        <v>150000</v>
      </c>
      <c r="K39" s="155">
        <v>15900</v>
      </c>
      <c r="L39" s="251">
        <v>150000</v>
      </c>
      <c r="M39" s="155">
        <v>0</v>
      </c>
      <c r="N39" s="481">
        <f t="shared" si="12"/>
        <v>150000</v>
      </c>
      <c r="O39" s="533">
        <f t="shared" si="1"/>
        <v>100</v>
      </c>
    </row>
    <row r="40" spans="2:17" ht="8.1" customHeight="1" x14ac:dyDescent="0.2">
      <c r="B40" s="10"/>
      <c r="C40" s="11"/>
      <c r="D40" s="11"/>
      <c r="E40" s="289"/>
      <c r="F40" s="119"/>
      <c r="G40" s="134"/>
      <c r="H40" s="304"/>
      <c r="I40" s="155"/>
      <c r="J40" s="155"/>
      <c r="K40" s="155"/>
      <c r="L40" s="251"/>
      <c r="M40" s="155"/>
      <c r="N40" s="457"/>
      <c r="O40" s="533" t="str">
        <f t="shared" si="1"/>
        <v/>
      </c>
      <c r="P40" s="275"/>
    </row>
    <row r="41" spans="2:17" s="1" customFormat="1" ht="12.95" customHeight="1" x14ac:dyDescent="0.25">
      <c r="B41" s="12"/>
      <c r="C41" s="8"/>
      <c r="D41" s="8"/>
      <c r="E41" s="286"/>
      <c r="F41" s="118">
        <v>821000</v>
      </c>
      <c r="G41" s="133"/>
      <c r="H41" s="23" t="s">
        <v>526</v>
      </c>
      <c r="I41" s="154">
        <f t="shared" ref="I41:J41" si="13">SUM(I42:I43)</f>
        <v>546910</v>
      </c>
      <c r="J41" s="154">
        <f t="shared" si="13"/>
        <v>1126840</v>
      </c>
      <c r="K41" s="154">
        <f>SUM(K42:K43)</f>
        <v>6762</v>
      </c>
      <c r="L41" s="320">
        <f>SUM(L42:L43)</f>
        <v>430799</v>
      </c>
      <c r="M41" s="154">
        <f>SUM(M42:M43)</f>
        <v>698481</v>
      </c>
      <c r="N41" s="455">
        <f>SUM(N42:N43)</f>
        <v>1129280</v>
      </c>
      <c r="O41" s="532">
        <f t="shared" si="1"/>
        <v>100.21653473430123</v>
      </c>
    </row>
    <row r="42" spans="2:17" ht="12.95" customHeight="1" x14ac:dyDescent="0.2">
      <c r="B42" s="10"/>
      <c r="C42" s="11"/>
      <c r="D42" s="11"/>
      <c r="E42" s="289"/>
      <c r="F42" s="119">
        <v>821200</v>
      </c>
      <c r="G42" s="134"/>
      <c r="H42" s="22" t="s">
        <v>528</v>
      </c>
      <c r="I42" s="152">
        <v>536910</v>
      </c>
      <c r="J42" s="152">
        <v>1086910</v>
      </c>
      <c r="K42" s="152">
        <v>0</v>
      </c>
      <c r="L42" s="250">
        <f>415201-410</f>
        <v>414791</v>
      </c>
      <c r="M42" s="152">
        <f>136910+190000+55700+704300-415201+410</f>
        <v>672119</v>
      </c>
      <c r="N42" s="481">
        <f t="shared" ref="N42:N43" si="14">SUM(L42:M42)</f>
        <v>1086910</v>
      </c>
      <c r="O42" s="533">
        <f t="shared" si="1"/>
        <v>100</v>
      </c>
      <c r="Q42" s="45"/>
    </row>
    <row r="43" spans="2:17" ht="12.95" customHeight="1" x14ac:dyDescent="0.2">
      <c r="B43" s="10"/>
      <c r="C43" s="11"/>
      <c r="D43" s="11"/>
      <c r="E43" s="289"/>
      <c r="F43" s="119">
        <v>821300</v>
      </c>
      <c r="G43" s="134"/>
      <c r="H43" s="22" t="s">
        <v>529</v>
      </c>
      <c r="I43" s="155">
        <v>10000</v>
      </c>
      <c r="J43" s="155">
        <f>10000+29930</f>
        <v>39930</v>
      </c>
      <c r="K43" s="155">
        <v>6762</v>
      </c>
      <c r="L43" s="251">
        <v>16008</v>
      </c>
      <c r="M43" s="155">
        <v>26362</v>
      </c>
      <c r="N43" s="481">
        <f t="shared" si="14"/>
        <v>42370</v>
      </c>
      <c r="O43" s="533">
        <f t="shared" si="1"/>
        <v>106.11069371399951</v>
      </c>
    </row>
    <row r="44" spans="2:17" ht="8.1" customHeight="1" x14ac:dyDescent="0.2">
      <c r="B44" s="10"/>
      <c r="C44" s="11"/>
      <c r="D44" s="11"/>
      <c r="E44" s="11"/>
      <c r="F44" s="119"/>
      <c r="G44" s="134"/>
      <c r="H44" s="22"/>
      <c r="I44" s="152"/>
      <c r="J44" s="152"/>
      <c r="K44" s="152"/>
      <c r="L44" s="250"/>
      <c r="M44" s="152"/>
      <c r="N44" s="457"/>
      <c r="O44" s="533" t="str">
        <f t="shared" si="1"/>
        <v/>
      </c>
    </row>
    <row r="45" spans="2:17" s="1" customFormat="1" ht="12.95" customHeight="1" x14ac:dyDescent="0.25">
      <c r="B45" s="12"/>
      <c r="C45" s="8"/>
      <c r="D45" s="8"/>
      <c r="E45" s="8"/>
      <c r="F45" s="118"/>
      <c r="G45" s="133"/>
      <c r="H45" s="23" t="s">
        <v>540</v>
      </c>
      <c r="I45" s="266" t="s">
        <v>678</v>
      </c>
      <c r="J45" s="266" t="s">
        <v>678</v>
      </c>
      <c r="K45" s="266" t="s">
        <v>679</v>
      </c>
      <c r="L45" s="322" t="s">
        <v>680</v>
      </c>
      <c r="M45" s="154"/>
      <c r="N45" s="450" t="s">
        <v>680</v>
      </c>
      <c r="O45" s="533"/>
    </row>
    <row r="46" spans="2:17" s="1" customFormat="1" ht="12.95" customHeight="1" x14ac:dyDescent="0.25">
      <c r="B46" s="12"/>
      <c r="C46" s="8"/>
      <c r="D46" s="8"/>
      <c r="E46" s="8"/>
      <c r="F46" s="118"/>
      <c r="G46" s="133"/>
      <c r="H46" s="8" t="s">
        <v>557</v>
      </c>
      <c r="I46" s="256">
        <f t="shared" ref="I46:N46" si="15">I8+I12+I15+I30+I41</f>
        <v>4354590</v>
      </c>
      <c r="J46" s="14">
        <f t="shared" si="15"/>
        <v>5273304</v>
      </c>
      <c r="K46" s="14">
        <f t="shared" si="15"/>
        <v>1436541</v>
      </c>
      <c r="L46" s="259">
        <f t="shared" si="15"/>
        <v>4323829</v>
      </c>
      <c r="M46" s="14">
        <f t="shared" si="15"/>
        <v>1030201</v>
      </c>
      <c r="N46" s="455">
        <f t="shared" si="15"/>
        <v>5354030</v>
      </c>
      <c r="O46" s="532">
        <f>IF(J46=0,"",N46/J46*100)</f>
        <v>101.53084290228669</v>
      </c>
    </row>
    <row r="47" spans="2:17" s="1" customFormat="1" ht="12.95" customHeight="1" x14ac:dyDescent="0.2">
      <c r="B47" s="12"/>
      <c r="C47" s="8"/>
      <c r="D47" s="8"/>
      <c r="E47" s="8"/>
      <c r="F47" s="118"/>
      <c r="G47" s="133"/>
      <c r="H47" s="8" t="s">
        <v>558</v>
      </c>
      <c r="I47" s="11"/>
      <c r="J47" s="11"/>
      <c r="K47" s="11"/>
      <c r="L47" s="10"/>
      <c r="M47" s="11"/>
      <c r="N47" s="488"/>
      <c r="O47" s="533"/>
    </row>
    <row r="48" spans="2:17" s="1" customFormat="1" ht="12.95" customHeight="1" x14ac:dyDescent="0.2">
      <c r="B48" s="12"/>
      <c r="C48" s="8"/>
      <c r="D48" s="8"/>
      <c r="E48" s="8"/>
      <c r="F48" s="118"/>
      <c r="G48" s="133"/>
      <c r="H48" s="8" t="s">
        <v>559</v>
      </c>
      <c r="I48" s="11"/>
      <c r="J48" s="11"/>
      <c r="K48" s="11"/>
      <c r="L48" s="10"/>
      <c r="M48" s="11"/>
      <c r="N48" s="488"/>
      <c r="O48" s="533"/>
    </row>
    <row r="49" spans="2:15" ht="8.1" customHeight="1" thickBot="1" x14ac:dyDescent="0.25">
      <c r="B49" s="15"/>
      <c r="C49" s="16"/>
      <c r="D49" s="16"/>
      <c r="E49" s="16"/>
      <c r="F49" s="120"/>
      <c r="G49" s="135"/>
      <c r="H49" s="16"/>
      <c r="I49" s="16"/>
      <c r="J49" s="16"/>
      <c r="K49" s="16"/>
      <c r="L49" s="15"/>
      <c r="M49" s="16"/>
      <c r="N49" s="475"/>
      <c r="O49" s="534"/>
    </row>
    <row r="50" spans="2:15" ht="12.95" customHeight="1" x14ac:dyDescent="0.2">
      <c r="F50" s="121"/>
      <c r="G50" s="136"/>
      <c r="L50" s="500"/>
      <c r="N50" s="162"/>
    </row>
    <row r="51" spans="2:15" ht="17.100000000000001" customHeight="1" x14ac:dyDescent="0.2">
      <c r="F51" s="121"/>
      <c r="G51" s="136"/>
      <c r="L51" s="275"/>
      <c r="N51" s="162"/>
    </row>
    <row r="52" spans="2:15" ht="17.100000000000001" customHeight="1" x14ac:dyDescent="0.2">
      <c r="F52" s="121"/>
      <c r="G52" s="136"/>
      <c r="N52" s="162"/>
    </row>
    <row r="53" spans="2:15" ht="17.100000000000001" customHeight="1" x14ac:dyDescent="0.2">
      <c r="F53" s="121"/>
      <c r="G53" s="136"/>
      <c r="N53" s="162"/>
    </row>
    <row r="54" spans="2:15" ht="14.25" x14ac:dyDescent="0.2">
      <c r="F54" s="121"/>
      <c r="G54" s="136"/>
      <c r="N54" s="162"/>
    </row>
    <row r="55" spans="2:15" ht="14.25" x14ac:dyDescent="0.2">
      <c r="F55" s="121"/>
      <c r="G55" s="136"/>
      <c r="N55" s="162"/>
    </row>
    <row r="56" spans="2:15" ht="14.25" x14ac:dyDescent="0.2">
      <c r="F56" s="121"/>
      <c r="G56" s="136"/>
      <c r="N56" s="162"/>
    </row>
    <row r="57" spans="2:15" ht="14.25" x14ac:dyDescent="0.2">
      <c r="F57" s="121"/>
      <c r="G57" s="136"/>
      <c r="N57" s="162"/>
    </row>
    <row r="58" spans="2:15" ht="14.25" x14ac:dyDescent="0.2">
      <c r="F58" s="121"/>
      <c r="G58" s="136"/>
      <c r="N58" s="162"/>
    </row>
    <row r="59" spans="2:15" ht="14.25" x14ac:dyDescent="0.2">
      <c r="F59" s="121"/>
      <c r="G59" s="136"/>
      <c r="N59" s="162"/>
    </row>
    <row r="60" spans="2:15" ht="14.25" x14ac:dyDescent="0.2">
      <c r="F60" s="121"/>
      <c r="G60" s="136"/>
      <c r="N60" s="162"/>
    </row>
    <row r="61" spans="2:15" ht="14.25" x14ac:dyDescent="0.2">
      <c r="F61" s="121"/>
      <c r="G61" s="136"/>
      <c r="N61" s="162"/>
    </row>
    <row r="62" spans="2:15" ht="14.25" x14ac:dyDescent="0.2">
      <c r="F62" s="121"/>
      <c r="G62" s="136"/>
      <c r="N62" s="162"/>
    </row>
    <row r="63" spans="2:15" ht="14.25" x14ac:dyDescent="0.2">
      <c r="F63" s="121"/>
      <c r="G63" s="136"/>
      <c r="N63" s="162"/>
    </row>
    <row r="64" spans="2:15" ht="14.25" x14ac:dyDescent="0.2">
      <c r="F64" s="121"/>
      <c r="G64" s="136"/>
      <c r="N64" s="162"/>
    </row>
    <row r="65" spans="6:14" ht="14.25" x14ac:dyDescent="0.2">
      <c r="F65" s="121"/>
      <c r="G65" s="121"/>
      <c r="N65" s="162"/>
    </row>
    <row r="66" spans="6:14" ht="14.25" x14ac:dyDescent="0.2">
      <c r="F66" s="121"/>
      <c r="G66" s="121"/>
      <c r="N66" s="162"/>
    </row>
    <row r="67" spans="6:14" ht="14.25" x14ac:dyDescent="0.2">
      <c r="F67" s="121"/>
      <c r="G67" s="121"/>
      <c r="N67" s="162"/>
    </row>
    <row r="68" spans="6:14" ht="14.25" x14ac:dyDescent="0.2">
      <c r="F68" s="121"/>
      <c r="G68" s="121"/>
      <c r="N68" s="162"/>
    </row>
    <row r="69" spans="6:14" ht="14.25" x14ac:dyDescent="0.2">
      <c r="F69" s="121"/>
      <c r="G69" s="121"/>
      <c r="N69" s="162"/>
    </row>
    <row r="70" spans="6:14" ht="14.25" x14ac:dyDescent="0.2">
      <c r="F70" s="121"/>
      <c r="G70" s="121"/>
      <c r="N70" s="162"/>
    </row>
    <row r="71" spans="6:14" ht="14.25" x14ac:dyDescent="0.2">
      <c r="F71" s="121"/>
      <c r="G71" s="121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x14ac:dyDescent="0.2">
      <c r="G82" s="121"/>
    </row>
    <row r="83" spans="6:14" x14ac:dyDescent="0.2">
      <c r="G83" s="121"/>
    </row>
    <row r="84" spans="6:14" x14ac:dyDescent="0.2">
      <c r="G84" s="121"/>
    </row>
    <row r="85" spans="6:14" x14ac:dyDescent="0.2">
      <c r="G85" s="121"/>
    </row>
    <row r="86" spans="6:14" x14ac:dyDescent="0.2">
      <c r="G86" s="121"/>
    </row>
    <row r="87" spans="6:14" x14ac:dyDescent="0.2">
      <c r="G87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5"/>
  <dimension ref="B1:S94"/>
  <sheetViews>
    <sheetView topLeftCell="I1" zoomScaleNormal="100" zoomScaleSheetLayoutView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" width="9.140625" style="9"/>
    <col min="17" max="17" width="10.140625" style="9" bestFit="1" customWidth="1"/>
    <col min="18" max="16384" width="9.140625" style="9"/>
  </cols>
  <sheetData>
    <row r="1" spans="2:19" ht="13.5" thickBot="1" x14ac:dyDescent="0.25"/>
    <row r="2" spans="2:19" s="63" customFormat="1" ht="20.100000000000001" customHeight="1" thickTop="1" thickBot="1" x14ac:dyDescent="0.25">
      <c r="B2" s="638" t="s">
        <v>681</v>
      </c>
      <c r="C2" s="666"/>
      <c r="D2" s="666"/>
      <c r="E2" s="666"/>
      <c r="F2" s="666"/>
      <c r="G2" s="666"/>
      <c r="H2" s="666"/>
      <c r="I2" s="666"/>
      <c r="J2" s="666"/>
      <c r="K2" s="666"/>
      <c r="L2" s="666"/>
      <c r="M2" s="666"/>
      <c r="N2" s="666"/>
      <c r="O2" s="659"/>
    </row>
    <row r="3" spans="2:19" s="1" customFormat="1" ht="8.1" customHeight="1" thickTop="1" thickBot="1" x14ac:dyDescent="0.25"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spans="2:19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5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9" s="1" customFormat="1" ht="27" customHeight="1" x14ac:dyDescent="0.2">
      <c r="B5" s="646"/>
      <c r="C5" s="648"/>
      <c r="D5" s="648"/>
      <c r="E5" s="650"/>
      <c r="F5" s="652"/>
      <c r="G5" s="650"/>
      <c r="H5" s="652"/>
      <c r="I5" s="66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9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9" s="2" customFormat="1" ht="12.95" customHeight="1" x14ac:dyDescent="0.25">
      <c r="B7" s="6" t="s">
        <v>656</v>
      </c>
      <c r="C7" s="7" t="s">
        <v>598</v>
      </c>
      <c r="D7" s="7" t="s">
        <v>604</v>
      </c>
      <c r="E7" s="285" t="s">
        <v>682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9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1413470</v>
      </c>
      <c r="J8" s="154">
        <f t="shared" si="0"/>
        <v>1413470</v>
      </c>
      <c r="K8" s="154">
        <f t="shared" si="0"/>
        <v>724395</v>
      </c>
      <c r="L8" s="320">
        <f>SUM(L9:L11)</f>
        <v>1453990</v>
      </c>
      <c r="M8" s="154">
        <f>SUM(M9:M11)</f>
        <v>0</v>
      </c>
      <c r="N8" s="480">
        <f>SUM(N9:N11)</f>
        <v>1453990</v>
      </c>
      <c r="O8" s="532">
        <f t="shared" ref="O8:O29" si="1">IF(J8=0,"",N8/J8*100)</f>
        <v>102.86670392721457</v>
      </c>
      <c r="Q8" s="46"/>
      <c r="R8" s="46"/>
    </row>
    <row r="9" spans="2:19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1159350</v>
      </c>
      <c r="J9" s="155">
        <v>1159350</v>
      </c>
      <c r="K9" s="155">
        <v>571324</v>
      </c>
      <c r="L9" s="251">
        <f>1148290+5000</f>
        <v>1153290</v>
      </c>
      <c r="M9" s="155">
        <v>0</v>
      </c>
      <c r="N9" s="481">
        <f>SUM(L9:M9)</f>
        <v>1153290</v>
      </c>
      <c r="O9" s="533">
        <f t="shared" si="1"/>
        <v>99.477293310906973</v>
      </c>
      <c r="Q9" s="45"/>
    </row>
    <row r="10" spans="2:19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254120</v>
      </c>
      <c r="J10" s="155">
        <v>254120</v>
      </c>
      <c r="K10" s="155">
        <v>153071</v>
      </c>
      <c r="L10" s="251">
        <f>281700+1800+43*400</f>
        <v>300700</v>
      </c>
      <c r="M10" s="155">
        <v>0</v>
      </c>
      <c r="N10" s="481">
        <f t="shared" ref="N10" si="2">SUM(L10:M10)</f>
        <v>300700</v>
      </c>
      <c r="O10" s="533">
        <f t="shared" si="1"/>
        <v>118.32992287108452</v>
      </c>
      <c r="Q10" s="45"/>
      <c r="S10" s="275"/>
    </row>
    <row r="11" spans="2:19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9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126270</v>
      </c>
      <c r="J12" s="154">
        <f t="shared" si="3"/>
        <v>126270</v>
      </c>
      <c r="K12" s="154">
        <f t="shared" si="3"/>
        <v>60420</v>
      </c>
      <c r="L12" s="320">
        <f t="shared" ref="L12:N12" si="4">L13</f>
        <v>126800</v>
      </c>
      <c r="M12" s="154">
        <f t="shared" si="4"/>
        <v>0</v>
      </c>
      <c r="N12" s="480">
        <f t="shared" si="4"/>
        <v>126800</v>
      </c>
      <c r="O12" s="532">
        <f t="shared" si="1"/>
        <v>100.41973548744754</v>
      </c>
    </row>
    <row r="13" spans="2:19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126270</v>
      </c>
      <c r="J13" s="155">
        <v>126270</v>
      </c>
      <c r="K13" s="155">
        <v>60420</v>
      </c>
      <c r="L13" s="251">
        <f>126200+600</f>
        <v>126800</v>
      </c>
      <c r="M13" s="155">
        <v>0</v>
      </c>
      <c r="N13" s="481">
        <f>SUM(L13:M13)</f>
        <v>126800</v>
      </c>
      <c r="O13" s="533">
        <f t="shared" si="1"/>
        <v>100.41973548744754</v>
      </c>
      <c r="Q13" s="45"/>
    </row>
    <row r="14" spans="2:19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9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>SUM(I16:I24)</f>
        <v>178080</v>
      </c>
      <c r="J15" s="156">
        <f>SUM(J16:J24)</f>
        <v>178080</v>
      </c>
      <c r="K15" s="156">
        <f>SUM(K16:K24)</f>
        <v>65762</v>
      </c>
      <c r="L15" s="321">
        <f>SUM(L16:L24)</f>
        <v>181080</v>
      </c>
      <c r="M15" s="156">
        <f>SUM(M16:M25)</f>
        <v>0</v>
      </c>
      <c r="N15" s="455">
        <f>SUM(N16:N24)</f>
        <v>181080</v>
      </c>
      <c r="O15" s="532">
        <f t="shared" si="1"/>
        <v>101.68463611859839</v>
      </c>
    </row>
    <row r="16" spans="2:19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5500</v>
      </c>
      <c r="J16" s="155">
        <v>5500</v>
      </c>
      <c r="K16" s="155">
        <v>2779</v>
      </c>
      <c r="L16" s="251">
        <v>6000</v>
      </c>
      <c r="M16" s="155">
        <v>0</v>
      </c>
      <c r="N16" s="481">
        <f t="shared" ref="N16:N24" si="5">SUM(L16:M16)</f>
        <v>6000</v>
      </c>
      <c r="O16" s="533">
        <f t="shared" si="1"/>
        <v>109.09090909090908</v>
      </c>
    </row>
    <row r="17" spans="2:18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90000</v>
      </c>
      <c r="J17" s="155">
        <v>90000</v>
      </c>
      <c r="K17" s="155">
        <v>31640</v>
      </c>
      <c r="L17" s="251">
        <v>90000</v>
      </c>
      <c r="M17" s="155">
        <v>0</v>
      </c>
      <c r="N17" s="481">
        <f t="shared" si="5"/>
        <v>90000</v>
      </c>
      <c r="O17" s="533">
        <f t="shared" si="1"/>
        <v>100</v>
      </c>
    </row>
    <row r="18" spans="2:18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10000</v>
      </c>
      <c r="J18" s="155">
        <v>10000</v>
      </c>
      <c r="K18" s="155">
        <v>6517</v>
      </c>
      <c r="L18" s="251">
        <v>13000</v>
      </c>
      <c r="M18" s="155">
        <v>0</v>
      </c>
      <c r="N18" s="481">
        <f t="shared" si="5"/>
        <v>13000</v>
      </c>
      <c r="O18" s="533">
        <f t="shared" si="1"/>
        <v>130</v>
      </c>
    </row>
    <row r="19" spans="2:18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24000</v>
      </c>
      <c r="J19" s="155">
        <v>24000</v>
      </c>
      <c r="K19" s="155">
        <v>9822</v>
      </c>
      <c r="L19" s="251">
        <v>24000</v>
      </c>
      <c r="M19" s="155">
        <v>0</v>
      </c>
      <c r="N19" s="481">
        <f t="shared" si="5"/>
        <v>24000</v>
      </c>
      <c r="O19" s="533">
        <f t="shared" si="1"/>
        <v>100</v>
      </c>
    </row>
    <row r="20" spans="2:18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4000</v>
      </c>
      <c r="J20" s="155">
        <v>4000</v>
      </c>
      <c r="K20" s="155">
        <v>393</v>
      </c>
      <c r="L20" s="251">
        <v>3500</v>
      </c>
      <c r="M20" s="155">
        <v>0</v>
      </c>
      <c r="N20" s="481">
        <f t="shared" si="5"/>
        <v>3500</v>
      </c>
      <c r="O20" s="533">
        <f t="shared" si="1"/>
        <v>87.5</v>
      </c>
    </row>
    <row r="21" spans="2:18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5"/>
        <v>0</v>
      </c>
      <c r="O21" s="533" t="str">
        <f t="shared" si="1"/>
        <v/>
      </c>
    </row>
    <row r="22" spans="2:18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20000</v>
      </c>
      <c r="J22" s="155">
        <v>20000</v>
      </c>
      <c r="K22" s="155">
        <v>7168</v>
      </c>
      <c r="L22" s="251">
        <v>20000</v>
      </c>
      <c r="M22" s="155">
        <v>0</v>
      </c>
      <c r="N22" s="481">
        <f t="shared" si="5"/>
        <v>20000</v>
      </c>
      <c r="O22" s="533">
        <f t="shared" si="1"/>
        <v>100</v>
      </c>
    </row>
    <row r="23" spans="2:18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1580</v>
      </c>
      <c r="J23" s="155">
        <v>1580</v>
      </c>
      <c r="K23" s="155">
        <v>527</v>
      </c>
      <c r="L23" s="251">
        <v>1580</v>
      </c>
      <c r="M23" s="155">
        <v>0</v>
      </c>
      <c r="N23" s="481">
        <f t="shared" si="5"/>
        <v>1580</v>
      </c>
      <c r="O23" s="533">
        <f t="shared" si="1"/>
        <v>100</v>
      </c>
    </row>
    <row r="24" spans="2:18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23000</v>
      </c>
      <c r="J24" s="155">
        <v>23000</v>
      </c>
      <c r="K24" s="155">
        <v>6916</v>
      </c>
      <c r="L24" s="251">
        <v>23000</v>
      </c>
      <c r="M24" s="155">
        <v>0</v>
      </c>
      <c r="N24" s="481">
        <f t="shared" si="5"/>
        <v>23000</v>
      </c>
      <c r="O24" s="533">
        <f t="shared" si="1"/>
        <v>100</v>
      </c>
    </row>
    <row r="25" spans="2:18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2">
        <v>0</v>
      </c>
      <c r="N25" s="580"/>
      <c r="O25" s="533" t="str">
        <f t="shared" si="1"/>
        <v/>
      </c>
    </row>
    <row r="26" spans="2:18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6">SUM(I27:I29)</f>
        <v>30000</v>
      </c>
      <c r="J26" s="154">
        <f t="shared" si="6"/>
        <v>30000</v>
      </c>
      <c r="K26" s="154">
        <f t="shared" si="6"/>
        <v>859</v>
      </c>
      <c r="L26" s="320">
        <f t="shared" ref="L26:N26" si="7">SUM(L27:L29)</f>
        <v>30000</v>
      </c>
      <c r="M26" s="154">
        <f t="shared" si="7"/>
        <v>0</v>
      </c>
      <c r="N26" s="455">
        <f t="shared" si="7"/>
        <v>30000</v>
      </c>
      <c r="O26" s="532">
        <f t="shared" si="1"/>
        <v>100</v>
      </c>
    </row>
    <row r="27" spans="2:18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15000</v>
      </c>
      <c r="J27" s="155">
        <v>15000</v>
      </c>
      <c r="K27" s="155">
        <v>0</v>
      </c>
      <c r="L27" s="251">
        <v>15000</v>
      </c>
      <c r="M27" s="155">
        <v>0</v>
      </c>
      <c r="N27" s="481">
        <f t="shared" ref="N27:N28" si="8">SUM(L27:M27)</f>
        <v>15000</v>
      </c>
      <c r="O27" s="533">
        <f t="shared" si="1"/>
        <v>100</v>
      </c>
    </row>
    <row r="28" spans="2:18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15000</v>
      </c>
      <c r="J28" s="155">
        <v>15000</v>
      </c>
      <c r="K28" s="155">
        <v>859</v>
      </c>
      <c r="L28" s="251">
        <v>15000</v>
      </c>
      <c r="M28" s="155">
        <v>0</v>
      </c>
      <c r="N28" s="481">
        <f t="shared" si="8"/>
        <v>15000</v>
      </c>
      <c r="O28" s="533">
        <f t="shared" si="1"/>
        <v>100</v>
      </c>
    </row>
    <row r="29" spans="2:18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8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683</v>
      </c>
      <c r="J30" s="266" t="s">
        <v>683</v>
      </c>
      <c r="K30" s="266" t="s">
        <v>684</v>
      </c>
      <c r="L30" s="322" t="s">
        <v>600</v>
      </c>
      <c r="M30" s="266"/>
      <c r="N30" s="450" t="s">
        <v>600</v>
      </c>
      <c r="O30" s="533"/>
    </row>
    <row r="31" spans="2:18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9">I8+I12+I15+I26</f>
        <v>1747820</v>
      </c>
      <c r="J31" s="14">
        <f t="shared" si="9"/>
        <v>1747820</v>
      </c>
      <c r="K31" s="14">
        <f t="shared" si="9"/>
        <v>851436</v>
      </c>
      <c r="L31" s="259">
        <f t="shared" si="9"/>
        <v>1791870</v>
      </c>
      <c r="M31" s="14">
        <f t="shared" si="9"/>
        <v>0</v>
      </c>
      <c r="N31" s="455">
        <f t="shared" si="9"/>
        <v>1791870</v>
      </c>
      <c r="O31" s="532">
        <f>IF(J31=0,"",N31/J31*100)</f>
        <v>102.52028240894371</v>
      </c>
    </row>
    <row r="32" spans="2:18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/>
      <c r="J32" s="14"/>
      <c r="K32" s="14"/>
      <c r="L32" s="259"/>
      <c r="M32" s="14"/>
      <c r="N32" s="455"/>
      <c r="O32" s="533" t="str">
        <f>IF(J32=0,"",N32/J32*100)</f>
        <v/>
      </c>
      <c r="R32" s="1" t="s">
        <v>638</v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61"/>
      <c r="J33" s="27"/>
      <c r="K33" s="27"/>
      <c r="L33" s="258"/>
      <c r="M33" s="27"/>
      <c r="N33" s="457"/>
      <c r="O33" s="533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L35" s="312"/>
      <c r="N35" s="163"/>
    </row>
    <row r="36" spans="2:15" ht="12.95" customHeight="1" x14ac:dyDescent="0.2">
      <c r="F36" s="121"/>
      <c r="G36" s="136"/>
      <c r="L36" s="312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3">
    <mergeCell ref="B2:O2"/>
    <mergeCell ref="O4:O5"/>
    <mergeCell ref="H4:H5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4"/>
  <dimension ref="B1:Q94"/>
  <sheetViews>
    <sheetView topLeftCell="I1" zoomScaleNormal="100" zoomScaleSheetLayoutView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685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656</v>
      </c>
      <c r="C7" s="7" t="s">
        <v>598</v>
      </c>
      <c r="D7" s="7" t="s">
        <v>572</v>
      </c>
      <c r="E7" s="285" t="s">
        <v>682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1240920</v>
      </c>
      <c r="J8" s="154">
        <f t="shared" si="0"/>
        <v>1240920</v>
      </c>
      <c r="K8" s="154">
        <f t="shared" si="0"/>
        <v>629482</v>
      </c>
      <c r="L8" s="320">
        <f>SUM(L9:L11)</f>
        <v>1315300</v>
      </c>
      <c r="M8" s="154">
        <f>SUM(M9:M11)</f>
        <v>0</v>
      </c>
      <c r="N8" s="480">
        <f>SUM(N9:N11)</f>
        <v>1315300</v>
      </c>
      <c r="O8" s="532">
        <f t="shared" ref="O8:O29" si="1">IF(J8=0,"",N8/J8*100)</f>
        <v>105.99393998001483</v>
      </c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1025940</v>
      </c>
      <c r="J9" s="155">
        <v>1025940</v>
      </c>
      <c r="K9" s="155">
        <v>520390</v>
      </c>
      <c r="L9" s="251">
        <f>1057300+1350+1500</f>
        <v>1060150</v>
      </c>
      <c r="M9" s="155">
        <v>0</v>
      </c>
      <c r="N9" s="481">
        <f>SUM(L9:M9)</f>
        <v>1060150</v>
      </c>
      <c r="O9" s="533">
        <f t="shared" si="1"/>
        <v>103.33450299237772</v>
      </c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214980</v>
      </c>
      <c r="J10" s="155">
        <v>214980</v>
      </c>
      <c r="K10" s="155">
        <v>109092</v>
      </c>
      <c r="L10" s="251">
        <f>232900+2450+1800+45*400</f>
        <v>255150</v>
      </c>
      <c r="M10" s="155">
        <v>0</v>
      </c>
      <c r="N10" s="481">
        <f t="shared" ref="N10" si="2">SUM(L10:M10)</f>
        <v>255150</v>
      </c>
      <c r="O10" s="533">
        <f t="shared" si="1"/>
        <v>118.68545911247558</v>
      </c>
      <c r="Q10" s="45"/>
    </row>
    <row r="11" spans="2:17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114500</v>
      </c>
      <c r="J12" s="154">
        <f t="shared" si="3"/>
        <v>114500</v>
      </c>
      <c r="K12" s="154">
        <f t="shared" si="3"/>
        <v>56035</v>
      </c>
      <c r="L12" s="320">
        <f t="shared" ref="L12" si="4">L13</f>
        <v>116140</v>
      </c>
      <c r="M12" s="154">
        <f t="shared" ref="M12:N12" si="5">M13</f>
        <v>0</v>
      </c>
      <c r="N12" s="480">
        <f t="shared" si="5"/>
        <v>116140</v>
      </c>
      <c r="O12" s="532">
        <f t="shared" si="1"/>
        <v>101.43231441048034</v>
      </c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114500</v>
      </c>
      <c r="J13" s="155">
        <v>114500</v>
      </c>
      <c r="K13" s="155">
        <v>56035</v>
      </c>
      <c r="L13" s="251">
        <f>115350+390+400</f>
        <v>116140</v>
      </c>
      <c r="M13" s="155">
        <v>0</v>
      </c>
      <c r="N13" s="481">
        <f>SUM(L13:M13)</f>
        <v>116140</v>
      </c>
      <c r="O13" s="533">
        <f t="shared" si="1"/>
        <v>101.43231441048034</v>
      </c>
    </row>
    <row r="14" spans="2:17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7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6">SUM(I16:I24)</f>
        <v>202200</v>
      </c>
      <c r="J15" s="156">
        <f t="shared" si="6"/>
        <v>202200</v>
      </c>
      <c r="K15" s="156">
        <f t="shared" si="6"/>
        <v>89631</v>
      </c>
      <c r="L15" s="321">
        <f>SUM(L16:L24)</f>
        <v>188400</v>
      </c>
      <c r="M15" s="156">
        <f>SUM(M16:M24)</f>
        <v>0</v>
      </c>
      <c r="N15" s="455">
        <f>SUM(N16:N24)</f>
        <v>188400</v>
      </c>
      <c r="O15" s="532">
        <f t="shared" si="1"/>
        <v>93.175074183976264</v>
      </c>
    </row>
    <row r="16" spans="2:17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6500</v>
      </c>
      <c r="J16" s="155">
        <v>6500</v>
      </c>
      <c r="K16" s="155">
        <v>1358</v>
      </c>
      <c r="L16" s="251">
        <v>6500</v>
      </c>
      <c r="M16" s="155">
        <v>0</v>
      </c>
      <c r="N16" s="481">
        <f t="shared" ref="N16:N24" si="7">SUM(L16:M16)</f>
        <v>6500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110000</v>
      </c>
      <c r="J17" s="155">
        <v>110000</v>
      </c>
      <c r="K17" s="155">
        <v>41484</v>
      </c>
      <c r="L17" s="251">
        <v>90000</v>
      </c>
      <c r="M17" s="155">
        <v>0</v>
      </c>
      <c r="N17" s="481">
        <f t="shared" si="7"/>
        <v>90000</v>
      </c>
      <c r="O17" s="533">
        <f t="shared" si="1"/>
        <v>81.818181818181827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16000</v>
      </c>
      <c r="J18" s="155">
        <v>16000</v>
      </c>
      <c r="K18" s="155">
        <v>11865</v>
      </c>
      <c r="L18" s="251">
        <v>22000</v>
      </c>
      <c r="M18" s="155">
        <v>0</v>
      </c>
      <c r="N18" s="481">
        <f t="shared" si="7"/>
        <v>22000</v>
      </c>
      <c r="O18" s="533">
        <f t="shared" si="1"/>
        <v>137.5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20000</v>
      </c>
      <c r="J19" s="155">
        <v>20000</v>
      </c>
      <c r="K19" s="155">
        <v>9803</v>
      </c>
      <c r="L19" s="251">
        <v>20000</v>
      </c>
      <c r="M19" s="155">
        <v>0</v>
      </c>
      <c r="N19" s="481">
        <f t="shared" si="7"/>
        <v>20000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600</v>
      </c>
      <c r="J20" s="155">
        <v>600</v>
      </c>
      <c r="K20" s="155">
        <v>240</v>
      </c>
      <c r="L20" s="251">
        <v>600</v>
      </c>
      <c r="M20" s="155">
        <v>0</v>
      </c>
      <c r="N20" s="481">
        <f t="shared" si="7"/>
        <v>600</v>
      </c>
      <c r="O20" s="533">
        <f t="shared" si="1"/>
        <v>100</v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7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30000</v>
      </c>
      <c r="J22" s="155">
        <v>30000</v>
      </c>
      <c r="K22" s="155">
        <v>16187</v>
      </c>
      <c r="L22" s="251">
        <v>30000</v>
      </c>
      <c r="M22" s="155">
        <v>0</v>
      </c>
      <c r="N22" s="481">
        <f t="shared" si="7"/>
        <v>30000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1100</v>
      </c>
      <c r="J23" s="155">
        <v>1100</v>
      </c>
      <c r="K23" s="155">
        <v>420</v>
      </c>
      <c r="L23" s="251">
        <v>1300</v>
      </c>
      <c r="M23" s="155">
        <v>0</v>
      </c>
      <c r="N23" s="481">
        <f t="shared" si="7"/>
        <v>1300</v>
      </c>
      <c r="O23" s="533">
        <f t="shared" si="1"/>
        <v>118.18181818181819</v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18000</v>
      </c>
      <c r="J24" s="155">
        <v>18000</v>
      </c>
      <c r="K24" s="155">
        <v>8274</v>
      </c>
      <c r="L24" s="251">
        <v>18000</v>
      </c>
      <c r="M24" s="155">
        <v>0</v>
      </c>
      <c r="N24" s="481">
        <f t="shared" si="7"/>
        <v>18000</v>
      </c>
      <c r="O24" s="533">
        <f t="shared" si="1"/>
        <v>100</v>
      </c>
    </row>
    <row r="25" spans="2:15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8">SUM(I27:I28)</f>
        <v>20000</v>
      </c>
      <c r="J26" s="154">
        <f t="shared" si="8"/>
        <v>20000</v>
      </c>
      <c r="K26" s="154">
        <f t="shared" si="8"/>
        <v>9895</v>
      </c>
      <c r="L26" s="320">
        <f t="shared" ref="L26:N26" si="9">SUM(L27:L28)</f>
        <v>11019</v>
      </c>
      <c r="M26" s="154">
        <f t="shared" si="9"/>
        <v>8981</v>
      </c>
      <c r="N26" s="455">
        <f t="shared" si="9"/>
        <v>20000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10000</v>
      </c>
      <c r="J27" s="155">
        <v>10000</v>
      </c>
      <c r="K27" s="155">
        <v>0</v>
      </c>
      <c r="L27" s="251">
        <f>10000-M27</f>
        <v>1019</v>
      </c>
      <c r="M27" s="155">
        <v>8981</v>
      </c>
      <c r="N27" s="481">
        <f t="shared" ref="N27:N28" si="10">SUM(L27:M27)</f>
        <v>10000</v>
      </c>
      <c r="O27" s="533">
        <f t="shared" si="1"/>
        <v>100</v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10000</v>
      </c>
      <c r="J28" s="155">
        <v>10000</v>
      </c>
      <c r="K28" s="155">
        <v>9895</v>
      </c>
      <c r="L28" s="251">
        <v>10000</v>
      </c>
      <c r="M28" s="155">
        <v>0</v>
      </c>
      <c r="N28" s="481">
        <f t="shared" si="10"/>
        <v>10000</v>
      </c>
      <c r="O28" s="533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684</v>
      </c>
      <c r="J30" s="266" t="s">
        <v>684</v>
      </c>
      <c r="K30" s="266" t="s">
        <v>684</v>
      </c>
      <c r="L30" s="322" t="s">
        <v>686</v>
      </c>
      <c r="M30" s="266"/>
      <c r="N30" s="450" t="s">
        <v>686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1">I8+I12+I15+I26</f>
        <v>1577620</v>
      </c>
      <c r="J31" s="14">
        <f t="shared" si="11"/>
        <v>1577620</v>
      </c>
      <c r="K31" s="14">
        <f t="shared" si="11"/>
        <v>785043</v>
      </c>
      <c r="L31" s="259">
        <f t="shared" si="11"/>
        <v>1630859</v>
      </c>
      <c r="M31" s="14">
        <f t="shared" si="11"/>
        <v>8981</v>
      </c>
      <c r="N31" s="455">
        <f t="shared" si="11"/>
        <v>1639840</v>
      </c>
      <c r="O31" s="532">
        <f>IF(J31=0,"",N31/J31*100)</f>
        <v>103.94391551831239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14"/>
      <c r="J32" s="14"/>
      <c r="K32" s="14"/>
      <c r="L32" s="259"/>
      <c r="M32" s="14"/>
      <c r="N32" s="455"/>
      <c r="O32" s="533" t="str">
        <f>IF(J32=0,"",N32/J32*100)</f>
        <v/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7"/>
      <c r="J33" s="27"/>
      <c r="K33" s="27"/>
      <c r="L33" s="258"/>
      <c r="M33" s="27"/>
      <c r="N33" s="457"/>
      <c r="O33" s="533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L35" s="500"/>
      <c r="N35" s="162"/>
    </row>
    <row r="36" spans="2:15" ht="12.95" customHeight="1" x14ac:dyDescent="0.2">
      <c r="F36" s="121"/>
      <c r="G36" s="136"/>
      <c r="N36" s="162"/>
    </row>
    <row r="37" spans="2:15" ht="12.95" customHeight="1" x14ac:dyDescent="0.2">
      <c r="F37" s="121"/>
      <c r="G37" s="136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7.100000000000001" customHeight="1" x14ac:dyDescent="0.2">
      <c r="F58" s="121"/>
      <c r="G58" s="136"/>
      <c r="N58" s="162"/>
    </row>
    <row r="59" spans="6:14" ht="14.25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3"/>
  <dimension ref="B1:O93"/>
  <sheetViews>
    <sheetView topLeftCell="I1" zoomScaleNormal="100" zoomScaleSheetLayoutView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" width="9.140625" style="9"/>
    <col min="17" max="17" width="9.5703125" style="9" bestFit="1" customWidth="1"/>
    <col min="18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687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656</v>
      </c>
      <c r="C7" s="7" t="s">
        <v>598</v>
      </c>
      <c r="D7" s="7" t="s">
        <v>574</v>
      </c>
      <c r="E7" s="285" t="s">
        <v>682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1161120</v>
      </c>
      <c r="J8" s="154">
        <f t="shared" si="0"/>
        <v>1161120</v>
      </c>
      <c r="K8" s="154">
        <f t="shared" si="0"/>
        <v>580247</v>
      </c>
      <c r="L8" s="320">
        <f>SUM(L9:L11)</f>
        <v>1187920</v>
      </c>
      <c r="M8" s="154">
        <f>SUM(M9:M11)</f>
        <v>0</v>
      </c>
      <c r="N8" s="480">
        <f>SUM(N9:N11)</f>
        <v>1187920</v>
      </c>
      <c r="O8" s="532">
        <f t="shared" ref="O8:O29" si="1">IF(J8=0,"",N8/J8*100)</f>
        <v>102.30811630150201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973810</v>
      </c>
      <c r="J9" s="155">
        <v>973810</v>
      </c>
      <c r="K9" s="155">
        <v>484059</v>
      </c>
      <c r="L9" s="251">
        <f>971320+800+7500</f>
        <v>979620</v>
      </c>
      <c r="M9" s="155">
        <v>0</v>
      </c>
      <c r="N9" s="481">
        <f>SUM(L9:M9)</f>
        <v>979620</v>
      </c>
      <c r="O9" s="533">
        <f t="shared" si="1"/>
        <v>100.59662562512194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187310</v>
      </c>
      <c r="J10" s="155">
        <v>187310</v>
      </c>
      <c r="K10" s="155">
        <v>96188</v>
      </c>
      <c r="L10" s="251">
        <f>189400+1400+1500+40*400</f>
        <v>208300</v>
      </c>
      <c r="M10" s="155">
        <v>0</v>
      </c>
      <c r="N10" s="481">
        <f t="shared" ref="N10" si="2">SUM(L10:M10)</f>
        <v>208300</v>
      </c>
      <c r="O10" s="533">
        <f t="shared" si="1"/>
        <v>111.2060221023971</v>
      </c>
    </row>
    <row r="11" spans="2:15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108360</v>
      </c>
      <c r="J12" s="154">
        <f t="shared" si="3"/>
        <v>108360</v>
      </c>
      <c r="K12" s="154">
        <f t="shared" si="3"/>
        <v>52413</v>
      </c>
      <c r="L12" s="320">
        <f t="shared" ref="L12:N12" si="4">L13</f>
        <v>105820</v>
      </c>
      <c r="M12" s="154">
        <f t="shared" si="4"/>
        <v>0</v>
      </c>
      <c r="N12" s="480">
        <f t="shared" si="4"/>
        <v>105820</v>
      </c>
      <c r="O12" s="532">
        <f t="shared" si="1"/>
        <v>97.655961609449975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108360</v>
      </c>
      <c r="J13" s="155">
        <v>108360</v>
      </c>
      <c r="K13" s="155">
        <v>52413</v>
      </c>
      <c r="L13" s="251">
        <f>104780+220+820</f>
        <v>105820</v>
      </c>
      <c r="M13" s="155">
        <v>0</v>
      </c>
      <c r="N13" s="481">
        <f>SUM(L13:M13)</f>
        <v>105820</v>
      </c>
      <c r="O13" s="533">
        <f t="shared" si="1"/>
        <v>97.655961609449975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181000</v>
      </c>
      <c r="J15" s="156">
        <f t="shared" si="5"/>
        <v>181000</v>
      </c>
      <c r="K15" s="156">
        <f t="shared" si="5"/>
        <v>79044</v>
      </c>
      <c r="L15" s="321">
        <f>SUM(L16:L24)</f>
        <v>195000</v>
      </c>
      <c r="M15" s="156">
        <f>SUM(M16:M24)</f>
        <v>0</v>
      </c>
      <c r="N15" s="455">
        <f>SUM(N16:N24)</f>
        <v>195000</v>
      </c>
      <c r="O15" s="532">
        <f t="shared" si="1"/>
        <v>107.73480662983425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5500</v>
      </c>
      <c r="J16" s="155">
        <v>5500</v>
      </c>
      <c r="K16" s="155">
        <v>1387</v>
      </c>
      <c r="L16" s="251">
        <v>5500</v>
      </c>
      <c r="M16" s="155">
        <v>0</v>
      </c>
      <c r="N16" s="481">
        <f t="shared" ref="N16:N24" si="6">SUM(L16:M16)</f>
        <v>5500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70000</v>
      </c>
      <c r="J17" s="155">
        <v>70000</v>
      </c>
      <c r="K17" s="155">
        <v>20161</v>
      </c>
      <c r="L17" s="251">
        <v>60000</v>
      </c>
      <c r="M17" s="155">
        <v>0</v>
      </c>
      <c r="N17" s="481">
        <f t="shared" si="6"/>
        <v>60000</v>
      </c>
      <c r="O17" s="533">
        <f t="shared" si="1"/>
        <v>85.714285714285708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10000</v>
      </c>
      <c r="J18" s="155">
        <v>10000</v>
      </c>
      <c r="K18" s="155">
        <v>3452</v>
      </c>
      <c r="L18" s="251">
        <v>9000</v>
      </c>
      <c r="M18" s="155">
        <v>0</v>
      </c>
      <c r="N18" s="481">
        <f t="shared" si="6"/>
        <v>9000</v>
      </c>
      <c r="O18" s="533">
        <f t="shared" si="1"/>
        <v>90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20000</v>
      </c>
      <c r="J19" s="155">
        <v>20000</v>
      </c>
      <c r="K19" s="155">
        <v>8159</v>
      </c>
      <c r="L19" s="251">
        <v>20000</v>
      </c>
      <c r="M19" s="155">
        <v>0</v>
      </c>
      <c r="N19" s="481">
        <f t="shared" si="6"/>
        <v>20000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4000</v>
      </c>
      <c r="J20" s="155">
        <v>4000</v>
      </c>
      <c r="K20" s="155">
        <v>2309</v>
      </c>
      <c r="L20" s="251">
        <v>4000</v>
      </c>
      <c r="M20" s="155">
        <v>0</v>
      </c>
      <c r="N20" s="481">
        <f t="shared" si="6"/>
        <v>4000</v>
      </c>
      <c r="O20" s="533">
        <f t="shared" si="1"/>
        <v>100</v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20000</v>
      </c>
      <c r="J22" s="155">
        <v>20000</v>
      </c>
      <c r="K22" s="155">
        <v>3503</v>
      </c>
      <c r="L22" s="251">
        <v>15000</v>
      </c>
      <c r="M22" s="155">
        <v>0</v>
      </c>
      <c r="N22" s="481">
        <f t="shared" si="6"/>
        <v>15000</v>
      </c>
      <c r="O22" s="533">
        <f t="shared" si="1"/>
        <v>75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1500</v>
      </c>
      <c r="J23" s="155">
        <v>1500</v>
      </c>
      <c r="K23" s="155">
        <v>691</v>
      </c>
      <c r="L23" s="251">
        <v>1500</v>
      </c>
      <c r="M23" s="155">
        <v>0</v>
      </c>
      <c r="N23" s="481">
        <f t="shared" si="6"/>
        <v>1500</v>
      </c>
      <c r="O23" s="533">
        <f t="shared" si="1"/>
        <v>100</v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50000</v>
      </c>
      <c r="J24" s="155">
        <v>50000</v>
      </c>
      <c r="K24" s="155">
        <v>39382</v>
      </c>
      <c r="L24" s="252">
        <v>80000</v>
      </c>
      <c r="M24" s="153">
        <v>0</v>
      </c>
      <c r="N24" s="481">
        <f t="shared" si="6"/>
        <v>80000</v>
      </c>
      <c r="O24" s="533">
        <f t="shared" si="1"/>
        <v>160</v>
      </c>
    </row>
    <row r="25" spans="2:15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17000</v>
      </c>
      <c r="J26" s="154">
        <f t="shared" si="7"/>
        <v>17000</v>
      </c>
      <c r="K26" s="154">
        <f t="shared" si="7"/>
        <v>0</v>
      </c>
      <c r="L26" s="320">
        <f t="shared" ref="L26:N26" si="8">SUM(L27:L28)</f>
        <v>17000</v>
      </c>
      <c r="M26" s="154">
        <f t="shared" si="8"/>
        <v>0</v>
      </c>
      <c r="N26" s="455">
        <f t="shared" si="8"/>
        <v>17000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15000</v>
      </c>
      <c r="J27" s="155">
        <v>15000</v>
      </c>
      <c r="K27" s="155">
        <v>0</v>
      </c>
      <c r="L27" s="251">
        <v>15000</v>
      </c>
      <c r="M27" s="155">
        <v>0</v>
      </c>
      <c r="N27" s="481">
        <f t="shared" ref="N27:N28" si="9">SUM(L27:M27)</f>
        <v>15000</v>
      </c>
      <c r="O27" s="533">
        <f t="shared" si="1"/>
        <v>100</v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2000</v>
      </c>
      <c r="J28" s="155">
        <v>2000</v>
      </c>
      <c r="K28" s="155">
        <v>0</v>
      </c>
      <c r="L28" s="251">
        <v>2000</v>
      </c>
      <c r="M28" s="155">
        <v>0</v>
      </c>
      <c r="N28" s="481">
        <f t="shared" si="9"/>
        <v>2000</v>
      </c>
      <c r="O28" s="533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688</v>
      </c>
      <c r="J30" s="266" t="s">
        <v>688</v>
      </c>
      <c r="K30" s="266" t="s">
        <v>689</v>
      </c>
      <c r="L30" s="322" t="s">
        <v>970</v>
      </c>
      <c r="M30" s="266"/>
      <c r="N30" s="450" t="s">
        <v>970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1467480</v>
      </c>
      <c r="J31" s="14">
        <f t="shared" si="10"/>
        <v>1467480</v>
      </c>
      <c r="K31" s="14">
        <f t="shared" si="10"/>
        <v>711704</v>
      </c>
      <c r="L31" s="259">
        <f t="shared" si="10"/>
        <v>1505740</v>
      </c>
      <c r="M31" s="14">
        <f t="shared" si="10"/>
        <v>0</v>
      </c>
      <c r="N31" s="455">
        <f t="shared" si="10"/>
        <v>1505740</v>
      </c>
      <c r="O31" s="532">
        <f>IF(J31=0,"",N31/J31*100)</f>
        <v>102.60719055796331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>
        <f>I31+'22'!I31+'21'!I31</f>
        <v>4792920</v>
      </c>
      <c r="J32" s="14">
        <f>J31+'22'!J31+'21'!J31</f>
        <v>4792920</v>
      </c>
      <c r="K32" s="14">
        <f>K31+'22'!K31+'21'!K31</f>
        <v>2348183</v>
      </c>
      <c r="L32" s="259">
        <f>L31+'22'!L31+'21'!L31</f>
        <v>4928469</v>
      </c>
      <c r="M32" s="14">
        <f>M31+'22'!M31+'21'!M31</f>
        <v>8981</v>
      </c>
      <c r="N32" s="455">
        <f>N31+'22'!N31+'21'!N31</f>
        <v>4937450</v>
      </c>
      <c r="O32" s="532">
        <f>IF(J32=0,"",N32/J32*100)</f>
        <v>103.01548951369936</v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7"/>
      <c r="J33" s="27"/>
      <c r="K33" s="27"/>
      <c r="L33" s="258"/>
      <c r="M33" s="27"/>
      <c r="N33" s="457"/>
      <c r="O33" s="533"/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2"/>
    </row>
    <row r="36" spans="2:15" ht="12.95" customHeight="1" x14ac:dyDescent="0.2">
      <c r="F36" s="121"/>
      <c r="G36" s="136"/>
      <c r="N36" s="162"/>
    </row>
    <row r="37" spans="2:15" ht="12.95" customHeight="1" x14ac:dyDescent="0.2">
      <c r="F37" s="121"/>
      <c r="G37" s="136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7.100000000000001" customHeight="1" x14ac:dyDescent="0.2">
      <c r="F57" s="121"/>
      <c r="G57" s="136"/>
      <c r="N57" s="162"/>
    </row>
    <row r="58" spans="6:14" ht="14.25" x14ac:dyDescent="0.2">
      <c r="F58" s="121"/>
      <c r="G58" s="136"/>
      <c r="N58" s="162"/>
    </row>
    <row r="59" spans="6:14" ht="14.25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21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x14ac:dyDescent="0.2">
      <c r="G88" s="121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B1:N53"/>
  <sheetViews>
    <sheetView topLeftCell="C1" zoomScaleNormal="100" workbookViewId="0">
      <selection activeCell="D10" sqref="D10"/>
    </sheetView>
  </sheetViews>
  <sheetFormatPr defaultRowHeight="15" customHeight="1" x14ac:dyDescent="0.2"/>
  <cols>
    <col min="2" max="2" width="60.140625" customWidth="1"/>
    <col min="3" max="3" width="13.140625" customWidth="1"/>
    <col min="4" max="5" width="18.7109375" customWidth="1"/>
    <col min="6" max="6" width="16" customWidth="1"/>
    <col min="7" max="7" width="20.7109375" customWidth="1"/>
    <col min="8" max="8" width="9.28515625" customWidth="1"/>
    <col min="9" max="9" width="6.42578125" customWidth="1"/>
    <col min="11" max="12" width="15.7109375" customWidth="1"/>
    <col min="13" max="13" width="8.7109375" customWidth="1"/>
  </cols>
  <sheetData>
    <row r="1" spans="2:10" ht="15" customHeight="1" x14ac:dyDescent="0.2">
      <c r="B1" s="606" t="s">
        <v>974</v>
      </c>
      <c r="C1" s="606"/>
      <c r="D1" s="585"/>
      <c r="E1" s="585"/>
      <c r="F1" s="585"/>
      <c r="G1" s="585"/>
      <c r="H1" s="585"/>
    </row>
    <row r="2" spans="2:10" ht="15" customHeight="1" x14ac:dyDescent="0.2">
      <c r="B2" s="585"/>
      <c r="C2" s="585"/>
      <c r="D2" s="585"/>
      <c r="E2" s="585"/>
      <c r="F2" s="585"/>
      <c r="G2" s="585"/>
      <c r="H2" s="585"/>
    </row>
    <row r="3" spans="2:10" ht="12" customHeight="1" x14ac:dyDescent="0.2">
      <c r="B3" s="585"/>
      <c r="C3" s="585"/>
      <c r="D3" s="585"/>
      <c r="E3" s="585"/>
      <c r="F3" s="585"/>
      <c r="G3" s="585"/>
      <c r="H3" s="585"/>
    </row>
    <row r="4" spans="2:10" ht="9" hidden="1" customHeight="1" x14ac:dyDescent="0.2">
      <c r="B4" s="585"/>
      <c r="C4" s="585"/>
      <c r="D4" s="585"/>
      <c r="E4" s="585"/>
      <c r="F4" s="585"/>
      <c r="G4" s="585"/>
      <c r="H4" s="585"/>
    </row>
    <row r="5" spans="2:10" ht="9" customHeight="1" x14ac:dyDescent="0.2"/>
    <row r="6" spans="2:10" ht="18.75" customHeight="1" x14ac:dyDescent="0.25">
      <c r="B6" s="609" t="s">
        <v>99</v>
      </c>
      <c r="C6" s="610"/>
      <c r="D6" s="610"/>
      <c r="E6" s="610"/>
      <c r="F6" s="610"/>
      <c r="G6" s="610"/>
      <c r="H6" s="610"/>
      <c r="I6" s="515"/>
      <c r="J6" s="34"/>
    </row>
    <row r="7" spans="2:10" ht="15" customHeight="1" x14ac:dyDescent="0.25">
      <c r="B7" s="611" t="s">
        <v>100</v>
      </c>
      <c r="C7" s="610"/>
      <c r="D7" s="610"/>
      <c r="E7" s="610"/>
      <c r="F7" s="610"/>
      <c r="G7" s="610"/>
      <c r="H7" s="610"/>
      <c r="I7" s="516"/>
      <c r="J7" s="34"/>
    </row>
    <row r="8" spans="2:10" ht="6.75" customHeight="1" x14ac:dyDescent="0.25">
      <c r="B8" s="66"/>
      <c r="C8" s="66"/>
      <c r="D8" s="39"/>
      <c r="E8" s="39"/>
      <c r="F8" s="39"/>
    </row>
    <row r="9" spans="2:10" ht="14.25" customHeight="1" x14ac:dyDescent="0.25">
      <c r="B9" s="66" t="s">
        <v>101</v>
      </c>
      <c r="C9" s="66"/>
      <c r="D9" s="39"/>
      <c r="E9" s="39"/>
      <c r="F9" s="39"/>
    </row>
    <row r="10" spans="2:10" ht="4.5" customHeight="1" x14ac:dyDescent="0.2">
      <c r="B10" s="32"/>
      <c r="C10" s="32"/>
    </row>
    <row r="11" spans="2:10" ht="15" customHeight="1" x14ac:dyDescent="0.2">
      <c r="B11" s="32" t="s">
        <v>102</v>
      </c>
      <c r="C11" s="32"/>
    </row>
    <row r="12" spans="2:10" ht="17.25" customHeight="1" x14ac:dyDescent="0.2">
      <c r="B12" s="607" t="s">
        <v>103</v>
      </c>
      <c r="C12" s="608"/>
      <c r="D12" s="608"/>
      <c r="E12" s="608"/>
      <c r="F12" s="608"/>
      <c r="G12" s="608"/>
      <c r="H12" s="585"/>
    </row>
    <row r="13" spans="2:10" ht="14.25" customHeight="1" x14ac:dyDescent="0.2">
      <c r="B13" s="507" t="s">
        <v>104</v>
      </c>
      <c r="C13" s="244"/>
      <c r="D13" s="244"/>
      <c r="E13" s="244"/>
    </row>
    <row r="14" spans="2:10" s="82" customFormat="1" ht="41.25" customHeight="1" x14ac:dyDescent="0.2">
      <c r="B14" s="180" t="s">
        <v>5</v>
      </c>
      <c r="C14" s="181" t="s">
        <v>105</v>
      </c>
      <c r="D14" s="181" t="s">
        <v>106</v>
      </c>
      <c r="E14" s="181" t="s">
        <v>107</v>
      </c>
      <c r="F14" s="219" t="s">
        <v>108</v>
      </c>
      <c r="G14" s="219" t="s">
        <v>109</v>
      </c>
      <c r="H14" s="181" t="s">
        <v>110</v>
      </c>
    </row>
    <row r="15" spans="2:10" s="227" customFormat="1" ht="10.5" customHeight="1" x14ac:dyDescent="0.2">
      <c r="B15" s="228">
        <v>1</v>
      </c>
      <c r="C15" s="228"/>
      <c r="D15" s="229">
        <v>2</v>
      </c>
      <c r="E15" s="229">
        <v>3</v>
      </c>
      <c r="F15" s="229">
        <v>3</v>
      </c>
      <c r="G15" s="229">
        <v>5</v>
      </c>
      <c r="H15" s="228" t="s">
        <v>111</v>
      </c>
    </row>
    <row r="16" spans="2:10" s="82" customFormat="1" ht="14.1" customHeight="1" x14ac:dyDescent="0.2">
      <c r="B16" s="182" t="s">
        <v>112</v>
      </c>
      <c r="C16" s="182"/>
      <c r="D16" s="183">
        <f>D17+D18+D19+D20+D21</f>
        <v>66987000</v>
      </c>
      <c r="E16" s="183">
        <f>E17+E18+E19+E20+E21</f>
        <v>67555493</v>
      </c>
      <c r="F16" s="183">
        <f>F17+F18+F19+F20+F21</f>
        <v>29450845</v>
      </c>
      <c r="G16" s="220">
        <f>G17+G18+G19+G20+G21</f>
        <v>71622480</v>
      </c>
      <c r="H16" s="184">
        <f t="shared" ref="H16:H39" si="0">IF(E16=0,,G16/E16*100)</f>
        <v>106.0202165943782</v>
      </c>
    </row>
    <row r="17" spans="2:14" s="82" customFormat="1" ht="12.95" customHeight="1" x14ac:dyDescent="0.2">
      <c r="B17" s="185" t="s">
        <v>113</v>
      </c>
      <c r="C17" s="186">
        <v>710</v>
      </c>
      <c r="D17" s="187">
        <f>Prihodi!D5</f>
        <v>52921780</v>
      </c>
      <c r="E17" s="187">
        <f>Prihodi!E5</f>
        <v>52921780</v>
      </c>
      <c r="F17" s="187">
        <f>Prihodi!F5</f>
        <v>26572192</v>
      </c>
      <c r="G17" s="187">
        <f>Prihodi!G5</f>
        <v>56961162</v>
      </c>
      <c r="H17" s="188">
        <f t="shared" si="0"/>
        <v>107.63274024418681</v>
      </c>
      <c r="J17" s="218"/>
    </row>
    <row r="18" spans="2:14" s="82" customFormat="1" ht="12.95" customHeight="1" x14ac:dyDescent="0.2">
      <c r="B18" s="185" t="s">
        <v>114</v>
      </c>
      <c r="C18" s="186">
        <v>720</v>
      </c>
      <c r="D18" s="187">
        <f>Prihodi!D62</f>
        <v>4094010</v>
      </c>
      <c r="E18" s="187">
        <f>Prihodi!E62</f>
        <v>4094010</v>
      </c>
      <c r="F18" s="187">
        <f>Prihodi!F62</f>
        <v>1904207</v>
      </c>
      <c r="G18" s="187">
        <f>Prihodi!G62</f>
        <v>3898134</v>
      </c>
      <c r="H18" s="188">
        <f t="shared" si="0"/>
        <v>95.215546615665332</v>
      </c>
      <c r="J18" s="218"/>
    </row>
    <row r="19" spans="2:14" s="82" customFormat="1" ht="12.95" customHeight="1" x14ac:dyDescent="0.2">
      <c r="B19" s="185" t="s">
        <v>115</v>
      </c>
      <c r="C19" s="186">
        <v>730</v>
      </c>
      <c r="D19" s="187">
        <f>Prihodi!D188</f>
        <v>9832961</v>
      </c>
      <c r="E19" s="187">
        <f>Prihodi!E188</f>
        <v>10201675</v>
      </c>
      <c r="F19" s="187">
        <f>Prihodi!F188</f>
        <v>692424</v>
      </c>
      <c r="G19" s="187">
        <f>Prihodi!G188</f>
        <v>7892901</v>
      </c>
      <c r="H19" s="188">
        <f t="shared" si="0"/>
        <v>77.368677202518214</v>
      </c>
      <c r="J19" s="218"/>
    </row>
    <row r="20" spans="2:14" s="82" customFormat="1" ht="12.95" customHeight="1" x14ac:dyDescent="0.2">
      <c r="B20" s="185" t="s">
        <v>116</v>
      </c>
      <c r="C20" s="186">
        <v>740</v>
      </c>
      <c r="D20" s="187">
        <f>Prihodi!D220</f>
        <v>136909</v>
      </c>
      <c r="E20" s="187">
        <f>Prihodi!E220</f>
        <v>336688</v>
      </c>
      <c r="F20" s="187">
        <f>Prihodi!F220</f>
        <v>281138</v>
      </c>
      <c r="G20" s="187">
        <f>Prihodi!G220</f>
        <v>2869073</v>
      </c>
      <c r="H20" s="188">
        <f t="shared" si="0"/>
        <v>852.14590362590889</v>
      </c>
      <c r="J20" s="218"/>
    </row>
    <row r="21" spans="2:14" s="82" customFormat="1" ht="12.95" customHeight="1" x14ac:dyDescent="0.2">
      <c r="B21" s="185" t="s">
        <v>117</v>
      </c>
      <c r="C21" s="186">
        <v>770</v>
      </c>
      <c r="D21" s="187">
        <f>Prihodi!D258</f>
        <v>1340</v>
      </c>
      <c r="E21" s="187">
        <f>Prihodi!E258</f>
        <v>1340</v>
      </c>
      <c r="F21" s="187">
        <f>Prihodi!F258</f>
        <v>884</v>
      </c>
      <c r="G21" s="187">
        <f>Prihodi!G258</f>
        <v>1210</v>
      </c>
      <c r="H21" s="188">
        <f t="shared" si="0"/>
        <v>90.298507462686572</v>
      </c>
      <c r="J21" s="218"/>
    </row>
    <row r="22" spans="2:14" s="82" customFormat="1" ht="14.1" customHeight="1" x14ac:dyDescent="0.2">
      <c r="B22" s="193" t="s">
        <v>118</v>
      </c>
      <c r="C22" s="194"/>
      <c r="D22" s="195">
        <f>SUM(D23:D29)</f>
        <v>61168820</v>
      </c>
      <c r="E22" s="195">
        <f>SUM(E23:E29)</f>
        <v>61601937</v>
      </c>
      <c r="F22" s="195">
        <f>SUM(F23:F29)</f>
        <v>26388626</v>
      </c>
      <c r="G22" s="221">
        <f>SUM(G23:G29)</f>
        <v>64231820</v>
      </c>
      <c r="H22" s="196">
        <f t="shared" si="0"/>
        <v>104.26915634162609</v>
      </c>
      <c r="J22" s="218"/>
      <c r="K22" s="218"/>
    </row>
    <row r="23" spans="2:14" s="197" customFormat="1" ht="12.95" customHeight="1" x14ac:dyDescent="0.2">
      <c r="B23" s="189" t="s">
        <v>119</v>
      </c>
      <c r="C23" s="190">
        <v>600</v>
      </c>
      <c r="D23" s="187">
        <f>Rashodi!F9</f>
        <v>560000</v>
      </c>
      <c r="E23" s="187">
        <f>Rashodi!G9</f>
        <v>560000</v>
      </c>
      <c r="F23" s="187">
        <f>Rashodi!H9</f>
        <v>241971</v>
      </c>
      <c r="G23" s="177">
        <f>Rashodi!K9</f>
        <v>660000</v>
      </c>
      <c r="H23" s="192">
        <f t="shared" si="0"/>
        <v>117.85714285714286</v>
      </c>
      <c r="J23" s="218"/>
      <c r="K23" s="218"/>
    </row>
    <row r="24" spans="2:14" s="197" customFormat="1" ht="12.95" customHeight="1" x14ac:dyDescent="0.2">
      <c r="B24" s="189" t="s">
        <v>120</v>
      </c>
      <c r="C24" s="190">
        <v>611</v>
      </c>
      <c r="D24" s="187">
        <f>Rashodi!F15</f>
        <v>33101160</v>
      </c>
      <c r="E24" s="187">
        <f>Rashodi!G15</f>
        <v>33113960</v>
      </c>
      <c r="F24" s="187">
        <f>Rashodi!H15</f>
        <v>16833602</v>
      </c>
      <c r="G24" s="177">
        <f>Rashodi!K15</f>
        <v>34642440</v>
      </c>
      <c r="H24" s="192">
        <f t="shared" si="0"/>
        <v>104.61581761891358</v>
      </c>
      <c r="J24" s="218"/>
      <c r="K24" s="218"/>
    </row>
    <row r="25" spans="2:14" s="82" customFormat="1" ht="12.95" customHeight="1" x14ac:dyDescent="0.2">
      <c r="B25" s="189" t="s">
        <v>121</v>
      </c>
      <c r="C25" s="190">
        <v>612</v>
      </c>
      <c r="D25" s="191">
        <f>Rashodi!F21</f>
        <v>3299960</v>
      </c>
      <c r="E25" s="191">
        <f>Rashodi!G21</f>
        <v>3299960</v>
      </c>
      <c r="F25" s="191">
        <f>Rashodi!H21</f>
        <v>1672728</v>
      </c>
      <c r="G25" s="178">
        <f>Rashodi!K21</f>
        <v>3444220</v>
      </c>
      <c r="H25" s="192">
        <f t="shared" si="0"/>
        <v>104.37156814021988</v>
      </c>
      <c r="J25" s="218"/>
      <c r="K25" s="218"/>
      <c r="N25" s="65"/>
    </row>
    <row r="26" spans="2:14" s="82" customFormat="1" ht="12.95" customHeight="1" x14ac:dyDescent="0.2">
      <c r="B26" s="189" t="s">
        <v>122</v>
      </c>
      <c r="C26" s="190">
        <v>613</v>
      </c>
      <c r="D26" s="191">
        <f>Rashodi!F26</f>
        <v>6555910</v>
      </c>
      <c r="E26" s="191">
        <f>Rashodi!G26</f>
        <v>6956227</v>
      </c>
      <c r="F26" s="191">
        <f>Rashodi!H26</f>
        <v>2864358</v>
      </c>
      <c r="G26" s="178">
        <f>Rashodi!K26</f>
        <v>7026150</v>
      </c>
      <c r="H26" s="192">
        <f t="shared" si="0"/>
        <v>101.0051857134622</v>
      </c>
      <c r="J26" s="218"/>
      <c r="K26" s="579"/>
    </row>
    <row r="27" spans="2:14" s="82" customFormat="1" ht="12.95" customHeight="1" x14ac:dyDescent="0.2">
      <c r="B27" s="189" t="s">
        <v>123</v>
      </c>
      <c r="C27" s="190">
        <v>614</v>
      </c>
      <c r="D27" s="191">
        <f>Rashodi!F52</f>
        <v>15934000</v>
      </c>
      <c r="E27" s="191">
        <f>Rashodi!G52</f>
        <v>15954000</v>
      </c>
      <c r="F27" s="191">
        <f>Rashodi!H52</f>
        <v>4767400</v>
      </c>
      <c r="G27" s="178">
        <f>Rashodi!K52</f>
        <v>16693500</v>
      </c>
      <c r="H27" s="192">
        <f t="shared" si="0"/>
        <v>104.63520120345994</v>
      </c>
      <c r="J27" s="218"/>
      <c r="K27" s="218"/>
    </row>
    <row r="28" spans="2:14" s="82" customFormat="1" ht="12.95" customHeight="1" x14ac:dyDescent="0.2">
      <c r="B28" s="189" t="s">
        <v>124</v>
      </c>
      <c r="C28" s="190">
        <v>615</v>
      </c>
      <c r="D28" s="191">
        <f>Rashodi!F92</f>
        <v>1700000</v>
      </c>
      <c r="E28" s="191">
        <f>Rashodi!G92</f>
        <v>1700000</v>
      </c>
      <c r="F28" s="191">
        <f>Rashodi!H92</f>
        <v>0</v>
      </c>
      <c r="G28" s="178">
        <f>Rashodi!K92</f>
        <v>1750000</v>
      </c>
      <c r="H28" s="192">
        <f t="shared" si="0"/>
        <v>102.94117647058823</v>
      </c>
      <c r="J28" s="218"/>
      <c r="K28" s="218"/>
    </row>
    <row r="29" spans="2:14" s="82" customFormat="1" ht="12.95" customHeight="1" thickBot="1" x14ac:dyDescent="0.25">
      <c r="B29" s="198" t="s">
        <v>125</v>
      </c>
      <c r="C29" s="199">
        <v>616</v>
      </c>
      <c r="D29" s="200">
        <f>Rashodi!F99</f>
        <v>17790</v>
      </c>
      <c r="E29" s="200">
        <f>Rashodi!G99</f>
        <v>17790</v>
      </c>
      <c r="F29" s="200">
        <f>Rashodi!H99</f>
        <v>8567</v>
      </c>
      <c r="G29" s="179">
        <f>Rashodi!K99</f>
        <v>15510</v>
      </c>
      <c r="H29" s="201">
        <f t="shared" si="0"/>
        <v>87.183811129848237</v>
      </c>
      <c r="J29" s="218"/>
      <c r="K29" s="218"/>
    </row>
    <row r="30" spans="2:14" s="82" customFormat="1" ht="14.1" customHeight="1" thickTop="1" thickBot="1" x14ac:dyDescent="0.25">
      <c r="B30" s="202" t="s">
        <v>126</v>
      </c>
      <c r="C30" s="203"/>
      <c r="D30" s="204">
        <f>D16-D22</f>
        <v>5818180</v>
      </c>
      <c r="E30" s="204">
        <f>E16-E22</f>
        <v>5953556</v>
      </c>
      <c r="F30" s="204">
        <f>F16-F22</f>
        <v>3062219</v>
      </c>
      <c r="G30" s="222">
        <f>G16-G22</f>
        <v>7390660</v>
      </c>
      <c r="H30" s="205">
        <f t="shared" si="0"/>
        <v>124.13858205079451</v>
      </c>
      <c r="J30" s="218"/>
      <c r="K30" s="218"/>
    </row>
    <row r="31" spans="2:14" s="82" customFormat="1" ht="14.1" customHeight="1" thickTop="1" x14ac:dyDescent="0.2">
      <c r="B31" s="193" t="s">
        <v>127</v>
      </c>
      <c r="C31" s="194">
        <v>811</v>
      </c>
      <c r="D31" s="195">
        <f>Prihodi!D255</f>
        <v>0</v>
      </c>
      <c r="E31" s="195">
        <f>Prihodi!E255</f>
        <v>0</v>
      </c>
      <c r="F31" s="195">
        <f>Prihodi!F255</f>
        <v>0</v>
      </c>
      <c r="G31" s="221">
        <f>Prihodi!G255</f>
        <v>0</v>
      </c>
      <c r="H31" s="196"/>
      <c r="J31" s="218"/>
      <c r="K31" s="218"/>
    </row>
    <row r="32" spans="2:14" s="82" customFormat="1" ht="14.1" customHeight="1" x14ac:dyDescent="0.2">
      <c r="B32" s="193" t="s">
        <v>128</v>
      </c>
      <c r="C32" s="194">
        <v>821</v>
      </c>
      <c r="D32" s="195">
        <f>D33</f>
        <v>5299310</v>
      </c>
      <c r="E32" s="195">
        <f>E33</f>
        <v>5434686</v>
      </c>
      <c r="F32" s="195">
        <f>F33</f>
        <v>692748</v>
      </c>
      <c r="G32" s="221">
        <f>G33</f>
        <v>7377960</v>
      </c>
      <c r="H32" s="196">
        <f t="shared" si="0"/>
        <v>135.75687721424936</v>
      </c>
      <c r="J32" s="218"/>
      <c r="K32" s="218"/>
    </row>
    <row r="33" spans="2:11" s="82" customFormat="1" ht="12.95" customHeight="1" thickBot="1" x14ac:dyDescent="0.25">
      <c r="B33" s="189" t="s">
        <v>129</v>
      </c>
      <c r="C33" s="190">
        <v>821</v>
      </c>
      <c r="D33" s="191">
        <f>Rashodi!F103</f>
        <v>5299310</v>
      </c>
      <c r="E33" s="191">
        <f>Rashodi!G103</f>
        <v>5434686</v>
      </c>
      <c r="F33" s="191">
        <f>Rashodi!H103</f>
        <v>692748</v>
      </c>
      <c r="G33" s="178">
        <f>Rashodi!K103</f>
        <v>7377960</v>
      </c>
      <c r="H33" s="192">
        <f t="shared" si="0"/>
        <v>135.75687721424936</v>
      </c>
      <c r="J33" s="218"/>
      <c r="K33" s="218"/>
    </row>
    <row r="34" spans="2:11" s="82" customFormat="1" ht="14.1" customHeight="1" thickTop="1" thickBot="1" x14ac:dyDescent="0.25">
      <c r="B34" s="206" t="s">
        <v>130</v>
      </c>
      <c r="C34" s="207"/>
      <c r="D34" s="208">
        <f>D31-D32</f>
        <v>-5299310</v>
      </c>
      <c r="E34" s="208">
        <f>E31-E32</f>
        <v>-5434686</v>
      </c>
      <c r="F34" s="208">
        <f>F31-F32</f>
        <v>-692748</v>
      </c>
      <c r="G34" s="223">
        <f>G31-G32</f>
        <v>-7377960</v>
      </c>
      <c r="H34" s="209">
        <f t="shared" si="0"/>
        <v>135.75687721424936</v>
      </c>
      <c r="J34" s="218"/>
      <c r="K34" s="218"/>
    </row>
    <row r="35" spans="2:11" s="82" customFormat="1" ht="19.5" customHeight="1" thickTop="1" thickBot="1" x14ac:dyDescent="0.25">
      <c r="B35" s="202" t="s">
        <v>131</v>
      </c>
      <c r="C35" s="203"/>
      <c r="D35" s="210">
        <f>D30+D34</f>
        <v>518870</v>
      </c>
      <c r="E35" s="210">
        <f>E30+E34</f>
        <v>518870</v>
      </c>
      <c r="F35" s="210">
        <f>F30+F34</f>
        <v>2369471</v>
      </c>
      <c r="G35" s="224">
        <f>G30+G34</f>
        <v>12700</v>
      </c>
      <c r="H35" s="205">
        <f t="shared" si="0"/>
        <v>2.447626573130071</v>
      </c>
      <c r="J35" s="218"/>
      <c r="K35" s="218"/>
    </row>
    <row r="36" spans="2:11" s="82" customFormat="1" ht="14.1" customHeight="1" thickTop="1" x14ac:dyDescent="0.2">
      <c r="B36" s="193" t="s">
        <v>132</v>
      </c>
      <c r="C36" s="194" t="s">
        <v>133</v>
      </c>
      <c r="D36" s="195">
        <f>0</f>
        <v>0</v>
      </c>
      <c r="E36" s="195">
        <f>0</f>
        <v>0</v>
      </c>
      <c r="F36" s="195">
        <f>0</f>
        <v>0</v>
      </c>
      <c r="G36" s="221">
        <f>0</f>
        <v>0</v>
      </c>
      <c r="H36" s="196"/>
      <c r="J36" s="218"/>
      <c r="K36" s="218"/>
    </row>
    <row r="37" spans="2:11" s="82" customFormat="1" ht="14.1" customHeight="1" x14ac:dyDescent="0.2">
      <c r="B37" s="211" t="s">
        <v>134</v>
      </c>
      <c r="C37" s="212" t="s">
        <v>135</v>
      </c>
      <c r="D37" s="213">
        <f>D38</f>
        <v>518870</v>
      </c>
      <c r="E37" s="213">
        <f>E38</f>
        <v>518870</v>
      </c>
      <c r="F37" s="213">
        <f>F38</f>
        <v>256477</v>
      </c>
      <c r="G37" s="225">
        <f>G38</f>
        <v>510020</v>
      </c>
      <c r="H37" s="196">
        <f t="shared" si="0"/>
        <v>98.294370458881801</v>
      </c>
      <c r="J37" s="218"/>
      <c r="K37" s="218"/>
    </row>
    <row r="38" spans="2:11" s="82" customFormat="1" ht="12.95" customHeight="1" thickBot="1" x14ac:dyDescent="0.25">
      <c r="B38" s="189" t="s">
        <v>136</v>
      </c>
      <c r="C38" s="190">
        <v>823</v>
      </c>
      <c r="D38" s="191">
        <f>Rashodi!F112</f>
        <v>518870</v>
      </c>
      <c r="E38" s="191">
        <f>Rashodi!G112</f>
        <v>518870</v>
      </c>
      <c r="F38" s="191">
        <f>Rashodi!H112</f>
        <v>256477</v>
      </c>
      <c r="G38" s="178">
        <f>Rashodi!K112</f>
        <v>510020</v>
      </c>
      <c r="H38" s="192">
        <f t="shared" si="0"/>
        <v>98.294370458881801</v>
      </c>
      <c r="J38" s="218"/>
      <c r="K38" s="218"/>
    </row>
    <row r="39" spans="2:11" s="82" customFormat="1" ht="14.1" customHeight="1" thickTop="1" thickBot="1" x14ac:dyDescent="0.25">
      <c r="B39" s="206" t="s">
        <v>137</v>
      </c>
      <c r="C39" s="207"/>
      <c r="D39" s="208">
        <f>D36-D37</f>
        <v>-518870</v>
      </c>
      <c r="E39" s="208">
        <f>E36-E37</f>
        <v>-518870</v>
      </c>
      <c r="F39" s="208">
        <f>F36-F37</f>
        <v>-256477</v>
      </c>
      <c r="G39" s="223">
        <f>G36-G37</f>
        <v>-510020</v>
      </c>
      <c r="H39" s="209">
        <f t="shared" si="0"/>
        <v>98.294370458881801</v>
      </c>
      <c r="J39" s="218"/>
      <c r="K39" s="218"/>
    </row>
    <row r="40" spans="2:11" s="82" customFormat="1" ht="14.1" customHeight="1" thickTop="1" thickBot="1" x14ac:dyDescent="0.25">
      <c r="B40" s="206" t="s">
        <v>138</v>
      </c>
      <c r="C40" s="207"/>
      <c r="D40" s="208">
        <f>D35+D39</f>
        <v>0</v>
      </c>
      <c r="E40" s="208">
        <f>E35+E39</f>
        <v>0</v>
      </c>
      <c r="F40" s="208">
        <f>F35+F39</f>
        <v>2112994</v>
      </c>
      <c r="G40" s="223">
        <f>G35+G39</f>
        <v>-497320</v>
      </c>
      <c r="H40" s="503"/>
      <c r="J40" s="218"/>
      <c r="K40" s="218"/>
    </row>
    <row r="41" spans="2:11" s="82" customFormat="1" ht="14.1" customHeight="1" thickTop="1" thickBot="1" x14ac:dyDescent="0.25">
      <c r="B41" s="193" t="s">
        <v>139</v>
      </c>
      <c r="C41" s="194"/>
      <c r="D41" s="195"/>
      <c r="E41" s="195"/>
      <c r="F41" s="195"/>
      <c r="G41" s="195">
        <v>497320</v>
      </c>
      <c r="H41" s="196"/>
      <c r="J41" s="218"/>
      <c r="K41" s="218"/>
    </row>
    <row r="42" spans="2:11" s="82" customFormat="1" ht="9" customHeight="1" thickTop="1" x14ac:dyDescent="0.2">
      <c r="B42" s="214"/>
      <c r="C42" s="215"/>
      <c r="D42" s="216"/>
      <c r="E42" s="216"/>
      <c r="F42" s="216"/>
      <c r="G42" s="226"/>
      <c r="H42" s="217"/>
      <c r="J42" s="218"/>
      <c r="K42" s="218"/>
    </row>
    <row r="43" spans="2:11" s="82" customFormat="1" ht="24.75" customHeight="1" x14ac:dyDescent="0.2">
      <c r="B43" s="211" t="s">
        <v>140</v>
      </c>
      <c r="C43" s="194"/>
      <c r="D43" s="550">
        <f>D16+D31+D36</f>
        <v>66987000</v>
      </c>
      <c r="E43" s="550">
        <f>E16+E31+E36</f>
        <v>67555493</v>
      </c>
      <c r="F43" s="550">
        <f>F16+F31+F36</f>
        <v>29450845</v>
      </c>
      <c r="G43" s="551">
        <f>G16+G41</f>
        <v>72119800</v>
      </c>
      <c r="H43" s="196">
        <f>IF(E43=0,,G43/E43*100)</f>
        <v>106.75638174974165</v>
      </c>
      <c r="J43" s="218"/>
      <c r="K43" s="218"/>
    </row>
    <row r="44" spans="2:11" s="82" customFormat="1" ht="14.1" customHeight="1" x14ac:dyDescent="0.2">
      <c r="B44" s="193" t="s">
        <v>141</v>
      </c>
      <c r="C44" s="194"/>
      <c r="D44" s="195">
        <f>D22+D32+D37</f>
        <v>66987000</v>
      </c>
      <c r="E44" s="195">
        <f>E22+E32+E37</f>
        <v>67555493</v>
      </c>
      <c r="F44" s="195">
        <f>F22+F32+F37</f>
        <v>27337851</v>
      </c>
      <c r="G44" s="221">
        <f>G22+G32+G37</f>
        <v>72119800</v>
      </c>
      <c r="H44" s="196">
        <f>IF(E44=0,,G44/E44*100)</f>
        <v>106.75638174974165</v>
      </c>
      <c r="J44" s="218"/>
      <c r="K44" s="218"/>
    </row>
    <row r="45" spans="2:11" s="82" customFormat="1" ht="14.1" customHeight="1" x14ac:dyDescent="0.2">
      <c r="B45" s="193" t="s">
        <v>142</v>
      </c>
      <c r="C45" s="194"/>
      <c r="D45" s="195">
        <f>D43-D44</f>
        <v>0</v>
      </c>
      <c r="E45" s="195">
        <f>E43-E44</f>
        <v>0</v>
      </c>
      <c r="F45" s="195">
        <f>F43-F44</f>
        <v>2112994</v>
      </c>
      <c r="G45" s="195">
        <f>G43-G44</f>
        <v>0</v>
      </c>
      <c r="H45" s="196"/>
    </row>
    <row r="46" spans="2:11" ht="7.5" customHeight="1" x14ac:dyDescent="0.2">
      <c r="B46" s="39"/>
      <c r="C46" s="39"/>
      <c r="D46" s="93"/>
      <c r="E46" s="93"/>
      <c r="F46" s="93"/>
      <c r="G46" s="93"/>
      <c r="H46" s="94"/>
    </row>
    <row r="47" spans="2:11" ht="15" customHeight="1" x14ac:dyDescent="0.2">
      <c r="B47" s="32" t="s">
        <v>143</v>
      </c>
      <c r="C47" s="32"/>
      <c r="E47" s="244"/>
      <c r="F47" s="50"/>
    </row>
    <row r="48" spans="2:11" ht="15" customHeight="1" x14ac:dyDescent="0.2">
      <c r="B48" t="s">
        <v>144</v>
      </c>
      <c r="F48" s="108"/>
    </row>
    <row r="49" spans="2:9" ht="15.75" customHeight="1" x14ac:dyDescent="0.2">
      <c r="B49" s="607" t="s">
        <v>145</v>
      </c>
      <c r="C49" s="607"/>
      <c r="D49" s="607"/>
      <c r="E49" s="607"/>
      <c r="F49" s="607"/>
      <c r="G49" s="607"/>
      <c r="H49" s="607"/>
    </row>
    <row r="50" spans="2:9" ht="15.75" customHeight="1" x14ac:dyDescent="0.2">
      <c r="B50" s="607"/>
      <c r="C50" s="607"/>
      <c r="D50" s="607"/>
      <c r="E50" s="607"/>
      <c r="F50" s="607"/>
      <c r="G50" s="607"/>
      <c r="H50" s="607"/>
    </row>
    <row r="51" spans="2:9" ht="4.5" customHeight="1" x14ac:dyDescent="0.2">
      <c r="G51" s="108"/>
    </row>
    <row r="52" spans="2:9" ht="15.75" customHeight="1" x14ac:dyDescent="0.2">
      <c r="B52" s="607"/>
      <c r="C52" s="607"/>
      <c r="D52" s="607"/>
      <c r="E52" s="607"/>
      <c r="F52" s="607"/>
      <c r="G52" s="607"/>
      <c r="H52" s="607"/>
      <c r="I52" s="607"/>
    </row>
    <row r="53" spans="2:9" ht="15" customHeight="1" x14ac:dyDescent="0.2">
      <c r="B53" s="32"/>
      <c r="C53" s="32"/>
    </row>
  </sheetData>
  <mergeCells count="7">
    <mergeCell ref="B1:H4"/>
    <mergeCell ref="B49:H49"/>
    <mergeCell ref="B52:I52"/>
    <mergeCell ref="B50:H50"/>
    <mergeCell ref="B12:H12"/>
    <mergeCell ref="B6:H6"/>
    <mergeCell ref="B7:H7"/>
  </mergeCells>
  <phoneticPr fontId="0" type="noConversion"/>
  <pageMargins left="0.78740157480314965" right="0.31496062992125984" top="0.35433070866141736" bottom="0.51181102362204722" header="0.51181102362204722" footer="0.31496062992125984"/>
  <pageSetup paperSize="9" scale="80" firstPageNumber="3" orientation="landscape" r:id="rId1"/>
  <headerFooter alignWithMargins="0">
    <oddFooter>&amp;R&amp;P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6"/>
  <dimension ref="B1:P94"/>
  <sheetViews>
    <sheetView topLeftCell="G1" zoomScaleNormal="100" zoomScaleSheetLayoutView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6" ht="13.5" thickBot="1" x14ac:dyDescent="0.25"/>
    <row r="2" spans="2:16" s="63" customFormat="1" ht="20.100000000000001" customHeight="1" thickTop="1" thickBot="1" x14ac:dyDescent="0.25">
      <c r="B2" s="638" t="s">
        <v>690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6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6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6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6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6" s="2" customFormat="1" ht="12.95" customHeight="1" x14ac:dyDescent="0.25">
      <c r="B7" s="6" t="s">
        <v>656</v>
      </c>
      <c r="C7" s="7" t="s">
        <v>691</v>
      </c>
      <c r="D7" s="7" t="s">
        <v>555</v>
      </c>
      <c r="E7" s="285" t="s">
        <v>658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6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1629420</v>
      </c>
      <c r="J8" s="154">
        <f t="shared" si="0"/>
        <v>1629420</v>
      </c>
      <c r="K8" s="154">
        <f t="shared" si="0"/>
        <v>840049</v>
      </c>
      <c r="L8" s="320">
        <f>SUM(L9:L11)</f>
        <v>1764380</v>
      </c>
      <c r="M8" s="154">
        <f>SUM(M9:M11)</f>
        <v>0</v>
      </c>
      <c r="N8" s="480">
        <f>SUM(N9:N11)</f>
        <v>1764380</v>
      </c>
      <c r="O8" s="532">
        <f t="shared" ref="O8:O29" si="1">IF(J8=0,"",N8/J8*100)</f>
        <v>108.28270182027961</v>
      </c>
    </row>
    <row r="9" spans="2:16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1382100</v>
      </c>
      <c r="J9" s="155">
        <v>1382100</v>
      </c>
      <c r="K9" s="155">
        <v>697703</v>
      </c>
      <c r="L9" s="251">
        <f>1440430+2*1350+4500</f>
        <v>1447630</v>
      </c>
      <c r="M9" s="155">
        <v>0</v>
      </c>
      <c r="N9" s="481">
        <f>SUM(L9:M9)</f>
        <v>1447630</v>
      </c>
      <c r="O9" s="533">
        <f t="shared" si="1"/>
        <v>104.7413356486506</v>
      </c>
      <c r="P9" s="275"/>
    </row>
    <row r="10" spans="2:16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247320</v>
      </c>
      <c r="J10" s="155">
        <v>247320</v>
      </c>
      <c r="K10" s="155">
        <v>142346</v>
      </c>
      <c r="L10" s="251">
        <f>288250+2*2450+59*400</f>
        <v>316750</v>
      </c>
      <c r="M10" s="155">
        <v>0</v>
      </c>
      <c r="N10" s="481">
        <f t="shared" ref="N10" si="2">SUM(L10:M10)</f>
        <v>316750</v>
      </c>
      <c r="O10" s="533">
        <f t="shared" si="1"/>
        <v>128.07294193757076</v>
      </c>
    </row>
    <row r="11" spans="2:16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6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142340</v>
      </c>
      <c r="J12" s="154">
        <f t="shared" si="3"/>
        <v>142340</v>
      </c>
      <c r="K12" s="154">
        <f t="shared" si="3"/>
        <v>74737</v>
      </c>
      <c r="L12" s="320">
        <f t="shared" ref="L12:N12" si="4">L13</f>
        <v>154490</v>
      </c>
      <c r="M12" s="154">
        <f t="shared" si="4"/>
        <v>0</v>
      </c>
      <c r="N12" s="480">
        <f t="shared" si="4"/>
        <v>154490</v>
      </c>
      <c r="O12" s="532">
        <f t="shared" si="1"/>
        <v>108.53589995784741</v>
      </c>
    </row>
    <row r="13" spans="2:16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142340</v>
      </c>
      <c r="J13" s="155">
        <v>142340</v>
      </c>
      <c r="K13" s="155">
        <v>74737</v>
      </c>
      <c r="L13" s="251">
        <f>153210+2*390+500</f>
        <v>154490</v>
      </c>
      <c r="M13" s="155">
        <v>0</v>
      </c>
      <c r="N13" s="481">
        <f>SUM(L13:M13)</f>
        <v>154490</v>
      </c>
      <c r="O13" s="533">
        <f t="shared" si="1"/>
        <v>108.53589995784741</v>
      </c>
    </row>
    <row r="14" spans="2:16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6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138700</v>
      </c>
      <c r="J15" s="156">
        <f t="shared" si="5"/>
        <v>138700</v>
      </c>
      <c r="K15" s="156">
        <f t="shared" si="5"/>
        <v>53094</v>
      </c>
      <c r="L15" s="321">
        <f>SUM(L16:L24)</f>
        <v>123200</v>
      </c>
      <c r="M15" s="156">
        <f>SUM(M16:M24)</f>
        <v>0</v>
      </c>
      <c r="N15" s="455">
        <f>SUM(N16:N24)</f>
        <v>123200</v>
      </c>
      <c r="O15" s="532">
        <f t="shared" si="1"/>
        <v>88.824801730353272</v>
      </c>
    </row>
    <row r="16" spans="2:16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5500</v>
      </c>
      <c r="J16" s="155">
        <v>5500</v>
      </c>
      <c r="K16" s="155">
        <v>2944</v>
      </c>
      <c r="L16" s="251">
        <v>5500</v>
      </c>
      <c r="M16" s="155">
        <v>0</v>
      </c>
      <c r="N16" s="481">
        <f t="shared" ref="N16:N24" si="6">SUM(L16:M16)</f>
        <v>5500</v>
      </c>
      <c r="O16" s="533">
        <f t="shared" si="1"/>
        <v>100</v>
      </c>
    </row>
    <row r="17" spans="2:16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55000</v>
      </c>
      <c r="J17" s="155">
        <v>55000</v>
      </c>
      <c r="K17" s="155">
        <v>19405</v>
      </c>
      <c r="L17" s="251">
        <v>45000</v>
      </c>
      <c r="M17" s="155">
        <v>0</v>
      </c>
      <c r="N17" s="481">
        <f t="shared" si="6"/>
        <v>45000</v>
      </c>
      <c r="O17" s="533">
        <f t="shared" si="1"/>
        <v>81.818181818181827</v>
      </c>
    </row>
    <row r="18" spans="2:16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8000</v>
      </c>
      <c r="J18" s="155">
        <v>8000</v>
      </c>
      <c r="K18" s="155">
        <v>4386</v>
      </c>
      <c r="L18" s="251">
        <v>8000</v>
      </c>
      <c r="M18" s="155">
        <v>0</v>
      </c>
      <c r="N18" s="481">
        <f t="shared" si="6"/>
        <v>8000</v>
      </c>
      <c r="O18" s="533">
        <f t="shared" si="1"/>
        <v>100</v>
      </c>
    </row>
    <row r="19" spans="2:16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17000</v>
      </c>
      <c r="J19" s="155">
        <v>17000</v>
      </c>
      <c r="K19" s="155">
        <v>5901</v>
      </c>
      <c r="L19" s="251">
        <v>16000</v>
      </c>
      <c r="M19" s="155">
        <v>0</v>
      </c>
      <c r="N19" s="481">
        <f t="shared" si="6"/>
        <v>16000</v>
      </c>
      <c r="O19" s="533">
        <f t="shared" si="1"/>
        <v>94.117647058823522</v>
      </c>
    </row>
    <row r="20" spans="2:16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500</v>
      </c>
      <c r="J20" s="155">
        <v>500</v>
      </c>
      <c r="K20" s="155">
        <v>0</v>
      </c>
      <c r="L20" s="251">
        <v>500</v>
      </c>
      <c r="M20" s="155">
        <v>0</v>
      </c>
      <c r="N20" s="481">
        <f t="shared" si="6"/>
        <v>500</v>
      </c>
      <c r="O20" s="533">
        <f t="shared" si="1"/>
        <v>100</v>
      </c>
    </row>
    <row r="21" spans="2:16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6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11000</v>
      </c>
      <c r="J22" s="155">
        <v>11000</v>
      </c>
      <c r="K22" s="155">
        <v>1454</v>
      </c>
      <c r="L22" s="251">
        <v>11000</v>
      </c>
      <c r="M22" s="155">
        <v>0</v>
      </c>
      <c r="N22" s="481">
        <f t="shared" si="6"/>
        <v>11000</v>
      </c>
      <c r="O22" s="533">
        <f t="shared" si="1"/>
        <v>100</v>
      </c>
    </row>
    <row r="23" spans="2:16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1700</v>
      </c>
      <c r="J23" s="155">
        <v>2200</v>
      </c>
      <c r="K23" s="155">
        <v>1704</v>
      </c>
      <c r="L23" s="251">
        <v>2200</v>
      </c>
      <c r="M23" s="155">
        <v>0</v>
      </c>
      <c r="N23" s="481">
        <f t="shared" si="6"/>
        <v>2200</v>
      </c>
      <c r="O23" s="533">
        <f t="shared" si="1"/>
        <v>100</v>
      </c>
    </row>
    <row r="24" spans="2:16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40000</v>
      </c>
      <c r="J24" s="155">
        <v>39500</v>
      </c>
      <c r="K24" s="155">
        <v>17300</v>
      </c>
      <c r="L24" s="251">
        <v>35000</v>
      </c>
      <c r="M24" s="155">
        <v>0</v>
      </c>
      <c r="N24" s="481">
        <f t="shared" si="6"/>
        <v>35000</v>
      </c>
      <c r="O24" s="533">
        <f t="shared" si="1"/>
        <v>88.60759493670885</v>
      </c>
    </row>
    <row r="25" spans="2:16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1"/>
      <c r="O25" s="533" t="str">
        <f t="shared" si="1"/>
        <v/>
      </c>
    </row>
    <row r="26" spans="2:16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20000</v>
      </c>
      <c r="J26" s="154">
        <f t="shared" si="7"/>
        <v>20000</v>
      </c>
      <c r="K26" s="154">
        <f t="shared" si="7"/>
        <v>3940</v>
      </c>
      <c r="L26" s="320">
        <f t="shared" ref="L26:N26" si="8">SUM(L27:L28)</f>
        <v>10000</v>
      </c>
      <c r="M26" s="154">
        <f t="shared" si="8"/>
        <v>0</v>
      </c>
      <c r="N26" s="455">
        <f t="shared" si="8"/>
        <v>10000</v>
      </c>
      <c r="O26" s="532">
        <f t="shared" si="1"/>
        <v>50</v>
      </c>
    </row>
    <row r="27" spans="2:16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10000</v>
      </c>
      <c r="J27" s="155">
        <v>10000</v>
      </c>
      <c r="K27" s="155">
        <v>0</v>
      </c>
      <c r="L27" s="251">
        <v>0</v>
      </c>
      <c r="M27" s="155">
        <v>0</v>
      </c>
      <c r="N27" s="481">
        <f t="shared" ref="N27:N28" si="9">SUM(L27:M27)</f>
        <v>0</v>
      </c>
      <c r="O27" s="533">
        <f t="shared" si="1"/>
        <v>0</v>
      </c>
      <c r="P27" s="275"/>
    </row>
    <row r="28" spans="2:16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10000</v>
      </c>
      <c r="J28" s="155">
        <v>10000</v>
      </c>
      <c r="K28" s="155">
        <v>3940</v>
      </c>
      <c r="L28" s="251">
        <v>10000</v>
      </c>
      <c r="M28" s="155">
        <v>0</v>
      </c>
      <c r="N28" s="481">
        <f t="shared" si="9"/>
        <v>10000</v>
      </c>
      <c r="O28" s="533">
        <f t="shared" si="1"/>
        <v>100</v>
      </c>
      <c r="P28" s="275"/>
    </row>
    <row r="29" spans="2:16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6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692</v>
      </c>
      <c r="J30" s="266" t="s">
        <v>692</v>
      </c>
      <c r="K30" s="266" t="s">
        <v>693</v>
      </c>
      <c r="L30" s="322" t="s">
        <v>971</v>
      </c>
      <c r="M30" s="266"/>
      <c r="N30" s="450" t="s">
        <v>971</v>
      </c>
      <c r="O30" s="533"/>
    </row>
    <row r="31" spans="2:16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1930460</v>
      </c>
      <c r="J31" s="14">
        <f t="shared" si="10"/>
        <v>1930460</v>
      </c>
      <c r="K31" s="14">
        <f t="shared" si="10"/>
        <v>971820</v>
      </c>
      <c r="L31" s="259">
        <f t="shared" si="10"/>
        <v>2052070</v>
      </c>
      <c r="M31" s="14">
        <f t="shared" si="10"/>
        <v>0</v>
      </c>
      <c r="N31" s="455">
        <f t="shared" si="10"/>
        <v>2052070</v>
      </c>
      <c r="O31" s="532">
        <f>IF(J31=0,"",N31/J31*100)</f>
        <v>106.29953482589643</v>
      </c>
    </row>
    <row r="32" spans="2:16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/>
      <c r="J32" s="14"/>
      <c r="K32" s="14"/>
      <c r="L32" s="259"/>
      <c r="M32" s="14"/>
      <c r="N32" s="455"/>
      <c r="O32" s="533" t="str">
        <f>IF(J32=0,"",N32/J32*100)</f>
        <v/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7"/>
      <c r="J33" s="27"/>
      <c r="K33" s="27"/>
      <c r="L33" s="258"/>
      <c r="M33" s="27"/>
      <c r="N33" s="457"/>
      <c r="O33" s="533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L35" s="504"/>
      <c r="N35" s="163"/>
    </row>
    <row r="36" spans="2:15" ht="12.95" customHeight="1" x14ac:dyDescent="0.2">
      <c r="F36" s="121"/>
      <c r="G36" s="136"/>
      <c r="L36" s="312"/>
      <c r="M36" s="312"/>
      <c r="N36" s="163"/>
    </row>
    <row r="37" spans="2:15" ht="12.95" customHeight="1" x14ac:dyDescent="0.2">
      <c r="F37" s="121"/>
      <c r="G37" s="136"/>
      <c r="L37" s="312"/>
      <c r="N37" s="163"/>
    </row>
    <row r="38" spans="2:15" ht="12.95" customHeight="1" x14ac:dyDescent="0.2">
      <c r="F38" s="121"/>
      <c r="G38" s="136"/>
      <c r="L38" s="312"/>
      <c r="N38" s="163"/>
    </row>
    <row r="39" spans="2:15" ht="12.95" customHeight="1" x14ac:dyDescent="0.2">
      <c r="F39" s="121"/>
      <c r="G39" s="136"/>
      <c r="L39" s="312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7"/>
  <dimension ref="B1:Q94"/>
  <sheetViews>
    <sheetView topLeftCell="B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694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656</v>
      </c>
      <c r="C7" s="7" t="s">
        <v>691</v>
      </c>
      <c r="D7" s="7" t="s">
        <v>604</v>
      </c>
      <c r="E7" s="285" t="s">
        <v>658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3334700</v>
      </c>
      <c r="J8" s="154">
        <f t="shared" si="0"/>
        <v>3334700</v>
      </c>
      <c r="K8" s="154">
        <f t="shared" si="0"/>
        <v>1714282</v>
      </c>
      <c r="L8" s="320">
        <f>SUM(L9:L11)</f>
        <v>3493700</v>
      </c>
      <c r="M8" s="154">
        <f>SUM(M9:M11)</f>
        <v>0</v>
      </c>
      <c r="N8" s="480">
        <f>SUM(N9:N11)</f>
        <v>3493700</v>
      </c>
      <c r="O8" s="532">
        <f t="shared" ref="O8:O29" si="1">IF(J8=0,"",N8/J8*100)</f>
        <v>104.76804510150839</v>
      </c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2809590</v>
      </c>
      <c r="J9" s="152">
        <v>2809590</v>
      </c>
      <c r="K9" s="152">
        <v>1406836</v>
      </c>
      <c r="L9" s="250">
        <f>2847900+5000</f>
        <v>2852900</v>
      </c>
      <c r="M9" s="152">
        <v>0</v>
      </c>
      <c r="N9" s="481">
        <f>SUM(L9:M9)</f>
        <v>2852900</v>
      </c>
      <c r="O9" s="533">
        <f t="shared" si="1"/>
        <v>101.54150605604377</v>
      </c>
      <c r="Q9" s="45"/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525110</v>
      </c>
      <c r="J10" s="152">
        <v>525110</v>
      </c>
      <c r="K10" s="152">
        <v>307446</v>
      </c>
      <c r="L10" s="250">
        <f>595600+2000+108*400</f>
        <v>640800</v>
      </c>
      <c r="M10" s="152">
        <v>0</v>
      </c>
      <c r="N10" s="481">
        <f t="shared" ref="N10" si="2">SUM(L10:M10)</f>
        <v>640800</v>
      </c>
      <c r="O10" s="533">
        <f t="shared" si="1"/>
        <v>122.03157433680562</v>
      </c>
      <c r="Q10" s="45"/>
    </row>
    <row r="11" spans="2:17" ht="12.95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295630</v>
      </c>
      <c r="J12" s="154">
        <f t="shared" si="3"/>
        <v>295630</v>
      </c>
      <c r="K12" s="154">
        <f t="shared" si="3"/>
        <v>148450</v>
      </c>
      <c r="L12" s="320">
        <f t="shared" ref="L12:N12" si="4">L13</f>
        <v>303000</v>
      </c>
      <c r="M12" s="154">
        <f t="shared" si="4"/>
        <v>0</v>
      </c>
      <c r="N12" s="480">
        <f t="shared" si="4"/>
        <v>303000</v>
      </c>
      <c r="O12" s="532">
        <f t="shared" si="1"/>
        <v>102.49298109122891</v>
      </c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295630</v>
      </c>
      <c r="J13" s="152">
        <v>295630</v>
      </c>
      <c r="K13" s="152">
        <v>148450</v>
      </c>
      <c r="L13" s="250">
        <f>302350+650</f>
        <v>303000</v>
      </c>
      <c r="M13" s="152">
        <v>0</v>
      </c>
      <c r="N13" s="481">
        <f>SUM(L13:M13)</f>
        <v>303000</v>
      </c>
      <c r="O13" s="533">
        <f t="shared" si="1"/>
        <v>102.49298109122891</v>
      </c>
    </row>
    <row r="14" spans="2:17" ht="12.95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57"/>
      <c r="O14" s="533" t="str">
        <f t="shared" si="1"/>
        <v/>
      </c>
    </row>
    <row r="15" spans="2:17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237000</v>
      </c>
      <c r="J15" s="156">
        <f t="shared" si="5"/>
        <v>237000</v>
      </c>
      <c r="K15" s="156">
        <f t="shared" si="5"/>
        <v>90577</v>
      </c>
      <c r="L15" s="321">
        <f>SUM(L16:L24)</f>
        <v>232500</v>
      </c>
      <c r="M15" s="156">
        <f>SUM(M16:M24)</f>
        <v>0</v>
      </c>
      <c r="N15" s="455">
        <f>SUM(N16:N24)</f>
        <v>232500</v>
      </c>
      <c r="O15" s="532">
        <f t="shared" si="1"/>
        <v>98.101265822784811</v>
      </c>
    </row>
    <row r="16" spans="2:17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10000</v>
      </c>
      <c r="J16" s="152">
        <v>10000</v>
      </c>
      <c r="K16" s="152">
        <v>5102</v>
      </c>
      <c r="L16" s="250">
        <v>10500</v>
      </c>
      <c r="M16" s="152">
        <v>0</v>
      </c>
      <c r="N16" s="481">
        <f t="shared" ref="N16:N24" si="6">SUM(L16:M16)</f>
        <v>10500</v>
      </c>
      <c r="O16" s="533">
        <f t="shared" si="1"/>
        <v>105</v>
      </c>
    </row>
    <row r="17" spans="2:16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100000</v>
      </c>
      <c r="J17" s="152">
        <v>100000</v>
      </c>
      <c r="K17" s="152">
        <v>38774</v>
      </c>
      <c r="L17" s="250">
        <v>100000</v>
      </c>
      <c r="M17" s="152">
        <v>0</v>
      </c>
      <c r="N17" s="481">
        <f t="shared" si="6"/>
        <v>100000</v>
      </c>
      <c r="O17" s="533">
        <f t="shared" si="1"/>
        <v>100</v>
      </c>
    </row>
    <row r="18" spans="2:16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12000</v>
      </c>
      <c r="J18" s="152">
        <v>12000</v>
      </c>
      <c r="K18" s="152">
        <v>8284</v>
      </c>
      <c r="L18" s="250">
        <v>17000</v>
      </c>
      <c r="M18" s="152">
        <v>0</v>
      </c>
      <c r="N18" s="481">
        <f t="shared" si="6"/>
        <v>17000</v>
      </c>
      <c r="O18" s="533">
        <f t="shared" si="1"/>
        <v>141.66666666666669</v>
      </c>
    </row>
    <row r="19" spans="2:16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25000</v>
      </c>
      <c r="J19" s="152">
        <v>25000</v>
      </c>
      <c r="K19" s="152">
        <v>8335</v>
      </c>
      <c r="L19" s="250">
        <v>25000</v>
      </c>
      <c r="M19" s="152">
        <v>0</v>
      </c>
      <c r="N19" s="481">
        <f t="shared" si="6"/>
        <v>25000</v>
      </c>
      <c r="O19" s="533">
        <f t="shared" si="1"/>
        <v>100</v>
      </c>
    </row>
    <row r="20" spans="2:16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2500</v>
      </c>
      <c r="J20" s="152">
        <v>2500</v>
      </c>
      <c r="K20" s="152">
        <v>684</v>
      </c>
      <c r="L20" s="250">
        <v>2500</v>
      </c>
      <c r="M20" s="152">
        <v>0</v>
      </c>
      <c r="N20" s="481">
        <f t="shared" si="6"/>
        <v>2500</v>
      </c>
      <c r="O20" s="533">
        <f t="shared" si="1"/>
        <v>100</v>
      </c>
    </row>
    <row r="21" spans="2:16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6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34000</v>
      </c>
      <c r="J22" s="152">
        <v>34000</v>
      </c>
      <c r="K22" s="152">
        <v>7128</v>
      </c>
      <c r="L22" s="250">
        <v>34000</v>
      </c>
      <c r="M22" s="152">
        <v>0</v>
      </c>
      <c r="N22" s="481">
        <f t="shared" si="6"/>
        <v>34000</v>
      </c>
      <c r="O22" s="533">
        <f t="shared" si="1"/>
        <v>100</v>
      </c>
    </row>
    <row r="23" spans="2:16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3500</v>
      </c>
      <c r="J23" s="152">
        <v>3500</v>
      </c>
      <c r="K23" s="152">
        <v>1080</v>
      </c>
      <c r="L23" s="250">
        <v>3500</v>
      </c>
      <c r="M23" s="152">
        <v>0</v>
      </c>
      <c r="N23" s="481">
        <f t="shared" si="6"/>
        <v>3500</v>
      </c>
      <c r="O23" s="533">
        <f t="shared" si="1"/>
        <v>100</v>
      </c>
    </row>
    <row r="24" spans="2:16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50000</v>
      </c>
      <c r="J24" s="152">
        <v>50000</v>
      </c>
      <c r="K24" s="152">
        <v>21190</v>
      </c>
      <c r="L24" s="250">
        <v>40000</v>
      </c>
      <c r="M24" s="152">
        <v>0</v>
      </c>
      <c r="N24" s="481">
        <f t="shared" si="6"/>
        <v>40000</v>
      </c>
      <c r="O24" s="533">
        <f t="shared" si="1"/>
        <v>80</v>
      </c>
    </row>
    <row r="25" spans="2:16" s="1" customFormat="1" ht="12.95" customHeight="1" x14ac:dyDescent="0.2">
      <c r="B25" s="12"/>
      <c r="C25" s="8"/>
      <c r="D25" s="8"/>
      <c r="E25" s="8"/>
      <c r="F25" s="118"/>
      <c r="G25" s="133"/>
      <c r="H25" s="23"/>
      <c r="I25" s="152"/>
      <c r="J25" s="152"/>
      <c r="K25" s="152"/>
      <c r="L25" s="250"/>
      <c r="M25" s="152"/>
      <c r="N25" s="580"/>
      <c r="O25" s="533" t="str">
        <f t="shared" si="1"/>
        <v/>
      </c>
    </row>
    <row r="26" spans="2:16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SUM(I27:I29)</f>
        <v>42000</v>
      </c>
      <c r="J26" s="154">
        <f t="shared" si="7"/>
        <v>42000</v>
      </c>
      <c r="K26" s="154">
        <f t="shared" si="7"/>
        <v>1239</v>
      </c>
      <c r="L26" s="320">
        <f t="shared" ref="L26:N26" si="8">SUM(L27:L29)</f>
        <v>51117</v>
      </c>
      <c r="M26" s="154">
        <f t="shared" si="8"/>
        <v>8313</v>
      </c>
      <c r="N26" s="455">
        <f t="shared" si="8"/>
        <v>59430</v>
      </c>
      <c r="O26" s="532">
        <f t="shared" si="1"/>
        <v>141.5</v>
      </c>
    </row>
    <row r="27" spans="2:16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2">
        <v>20000</v>
      </c>
      <c r="J27" s="152">
        <v>20000</v>
      </c>
      <c r="K27" s="152">
        <v>0</v>
      </c>
      <c r="L27" s="250">
        <f>28320-8313+2110</f>
        <v>22117</v>
      </c>
      <c r="M27" s="152">
        <v>8313</v>
      </c>
      <c r="N27" s="481">
        <f t="shared" ref="N27:N28" si="9">SUM(L27:M27)</f>
        <v>30430</v>
      </c>
      <c r="O27" s="533">
        <f t="shared" si="1"/>
        <v>152.15</v>
      </c>
    </row>
    <row r="28" spans="2:16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2">
        <v>22000</v>
      </c>
      <c r="J28" s="152">
        <v>22000</v>
      </c>
      <c r="K28" s="152">
        <v>1239</v>
      </c>
      <c r="L28" s="250">
        <v>29000</v>
      </c>
      <c r="M28" s="152">
        <v>0</v>
      </c>
      <c r="N28" s="481">
        <f t="shared" si="9"/>
        <v>29000</v>
      </c>
      <c r="O28" s="533">
        <f t="shared" si="1"/>
        <v>131.81818181818181</v>
      </c>
      <c r="P28" s="275"/>
    </row>
    <row r="29" spans="2:16" ht="12.95" customHeight="1" x14ac:dyDescent="0.2">
      <c r="B29" s="10"/>
      <c r="C29" s="11"/>
      <c r="D29" s="11"/>
      <c r="E29" s="11"/>
      <c r="F29" s="119"/>
      <c r="G29" s="134"/>
      <c r="H29" s="22"/>
      <c r="I29" s="152"/>
      <c r="J29" s="152"/>
      <c r="K29" s="152"/>
      <c r="L29" s="250"/>
      <c r="M29" s="152"/>
      <c r="N29" s="457"/>
      <c r="O29" s="533" t="str">
        <f t="shared" si="1"/>
        <v/>
      </c>
    </row>
    <row r="30" spans="2:16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695</v>
      </c>
      <c r="J30" s="266" t="s">
        <v>695</v>
      </c>
      <c r="K30" s="266" t="s">
        <v>696</v>
      </c>
      <c r="L30" s="322" t="s">
        <v>697</v>
      </c>
      <c r="M30" s="266"/>
      <c r="N30" s="450" t="s">
        <v>697</v>
      </c>
      <c r="O30" s="533"/>
    </row>
    <row r="31" spans="2:16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3909330</v>
      </c>
      <c r="J31" s="14">
        <f t="shared" si="10"/>
        <v>3909330</v>
      </c>
      <c r="K31" s="14">
        <f t="shared" si="10"/>
        <v>1954548</v>
      </c>
      <c r="L31" s="259">
        <f t="shared" si="10"/>
        <v>4080317</v>
      </c>
      <c r="M31" s="14">
        <f t="shared" si="10"/>
        <v>8313</v>
      </c>
      <c r="N31" s="455">
        <f t="shared" si="10"/>
        <v>4088630</v>
      </c>
      <c r="O31" s="532">
        <f>IF(J31=0,"",N31/J31*100)</f>
        <v>104.58646366512932</v>
      </c>
    </row>
    <row r="32" spans="2:16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14"/>
      <c r="J32" s="14"/>
      <c r="K32" s="14"/>
      <c r="L32" s="259"/>
      <c r="M32" s="14"/>
      <c r="N32" s="455"/>
      <c r="O32" s="533" t="str">
        <f>IF(J32=0,"",N32/J32*100)</f>
        <v/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7"/>
      <c r="J33" s="27"/>
      <c r="K33" s="27"/>
      <c r="L33" s="258"/>
      <c r="M33" s="27"/>
      <c r="N33" s="457"/>
      <c r="O33" s="533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16"/>
      <c r="J34" s="16"/>
      <c r="K34" s="16"/>
      <c r="L34" s="15"/>
      <c r="M34" s="16"/>
      <c r="N34" s="475"/>
      <c r="O34" s="534"/>
    </row>
    <row r="35" spans="2:15" ht="12.95" customHeight="1" x14ac:dyDescent="0.2">
      <c r="F35" s="121"/>
      <c r="G35" s="136"/>
      <c r="L35" s="500"/>
      <c r="M35" s="328"/>
      <c r="N35" s="162"/>
    </row>
    <row r="36" spans="2:15" ht="12.95" customHeight="1" x14ac:dyDescent="0.2">
      <c r="F36" s="121"/>
      <c r="G36" s="136"/>
      <c r="L36" s="275"/>
      <c r="N36" s="162"/>
    </row>
    <row r="37" spans="2:15" ht="12.95" customHeight="1" x14ac:dyDescent="0.2">
      <c r="F37" s="121"/>
      <c r="G37" s="136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7.100000000000001" customHeight="1" x14ac:dyDescent="0.2">
      <c r="F58" s="121"/>
      <c r="G58" s="136"/>
      <c r="N58" s="162"/>
    </row>
    <row r="59" spans="6:14" ht="14.25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28"/>
  <dimension ref="B1:Q94"/>
  <sheetViews>
    <sheetView topLeftCell="I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698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656</v>
      </c>
      <c r="C7" s="7" t="s">
        <v>691</v>
      </c>
      <c r="D7" s="7" t="s">
        <v>572</v>
      </c>
      <c r="E7" s="285" t="s">
        <v>658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851910</v>
      </c>
      <c r="J8" s="154">
        <f t="shared" si="0"/>
        <v>851910</v>
      </c>
      <c r="K8" s="154">
        <f t="shared" si="0"/>
        <v>445799</v>
      </c>
      <c r="L8" s="320">
        <f>SUM(L9:L11)</f>
        <v>921510</v>
      </c>
      <c r="M8" s="154">
        <f>SUM(M9:M11)</f>
        <v>0</v>
      </c>
      <c r="N8" s="480">
        <f>SUM(N9:N11)</f>
        <v>921510</v>
      </c>
      <c r="O8" s="532">
        <f t="shared" ref="O8:O29" si="1">IF(J8=0,"",N8/J8*100)</f>
        <v>108.16987709969364</v>
      </c>
      <c r="Q8" s="46"/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727070</v>
      </c>
      <c r="J9" s="155">
        <v>727070</v>
      </c>
      <c r="K9" s="155">
        <v>371334</v>
      </c>
      <c r="L9" s="251">
        <f>756650+1200</f>
        <v>757850</v>
      </c>
      <c r="M9" s="155">
        <v>0</v>
      </c>
      <c r="N9" s="481">
        <f>SUM(L9:M9)</f>
        <v>757850</v>
      </c>
      <c r="O9" s="533">
        <f t="shared" si="1"/>
        <v>104.23343006863163</v>
      </c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124840</v>
      </c>
      <c r="J10" s="155">
        <v>124840</v>
      </c>
      <c r="K10" s="155">
        <v>74465</v>
      </c>
      <c r="L10" s="251">
        <f>139800+7000+4160+1500+28*400</f>
        <v>163660</v>
      </c>
      <c r="M10" s="155">
        <v>0</v>
      </c>
      <c r="N10" s="481">
        <f t="shared" ref="N10" si="2">SUM(L10:M10)</f>
        <v>163660</v>
      </c>
      <c r="O10" s="533">
        <f t="shared" si="1"/>
        <v>131.09580262736301</v>
      </c>
    </row>
    <row r="11" spans="2:17" ht="12.95" customHeight="1" x14ac:dyDescent="0.2">
      <c r="B11" s="10"/>
      <c r="C11" s="11"/>
      <c r="D11" s="11"/>
      <c r="E11" s="11"/>
      <c r="F11" s="119"/>
      <c r="G11" s="134"/>
      <c r="H11" s="22"/>
      <c r="I11" s="155"/>
      <c r="J11" s="155"/>
      <c r="K11" s="155"/>
      <c r="L11" s="251"/>
      <c r="M11" s="155"/>
      <c r="N11" s="481"/>
      <c r="O11" s="533" t="str">
        <f t="shared" si="1"/>
        <v/>
      </c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76350</v>
      </c>
      <c r="J12" s="154">
        <f t="shared" si="3"/>
        <v>76350</v>
      </c>
      <c r="K12" s="154">
        <f t="shared" si="3"/>
        <v>38990</v>
      </c>
      <c r="L12" s="320">
        <f t="shared" ref="L12:N12" si="4">L13</f>
        <v>79940</v>
      </c>
      <c r="M12" s="154">
        <f t="shared" si="4"/>
        <v>0</v>
      </c>
      <c r="N12" s="480">
        <f t="shared" si="4"/>
        <v>79940</v>
      </c>
      <c r="O12" s="532">
        <f t="shared" si="1"/>
        <v>104.70203012442698</v>
      </c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76350</v>
      </c>
      <c r="J13" s="155">
        <v>76350</v>
      </c>
      <c r="K13" s="155">
        <v>38990</v>
      </c>
      <c r="L13" s="251">
        <f>79490+450</f>
        <v>79940</v>
      </c>
      <c r="M13" s="155">
        <v>0</v>
      </c>
      <c r="N13" s="481">
        <f>SUM(L13:M13)</f>
        <v>79940</v>
      </c>
      <c r="O13" s="533">
        <f t="shared" si="1"/>
        <v>104.70203012442698</v>
      </c>
    </row>
    <row r="14" spans="2:17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7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66300</v>
      </c>
      <c r="J15" s="156">
        <f t="shared" si="5"/>
        <v>70633</v>
      </c>
      <c r="K15" s="156">
        <f t="shared" si="5"/>
        <v>27747</v>
      </c>
      <c r="L15" s="321">
        <f>SUM(L16:L24)</f>
        <v>64620</v>
      </c>
      <c r="M15" s="156">
        <f>SUM(M16:M24)</f>
        <v>3680</v>
      </c>
      <c r="N15" s="455">
        <f>SUM(N16:N24)</f>
        <v>68300</v>
      </c>
      <c r="O15" s="532">
        <f t="shared" si="1"/>
        <v>96.697011311992981</v>
      </c>
    </row>
    <row r="16" spans="2:17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3000</v>
      </c>
      <c r="J16" s="155">
        <v>3000</v>
      </c>
      <c r="K16" s="155">
        <v>1503</v>
      </c>
      <c r="L16" s="251">
        <v>3000</v>
      </c>
      <c r="M16" s="155">
        <v>0</v>
      </c>
      <c r="N16" s="481">
        <f t="shared" ref="N16:N24" si="6">SUM(L16:M16)</f>
        <v>3000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25000</v>
      </c>
      <c r="J17" s="155">
        <v>25000</v>
      </c>
      <c r="K17" s="155">
        <v>4744</v>
      </c>
      <c r="L17" s="251">
        <v>20000</v>
      </c>
      <c r="M17" s="155">
        <v>0</v>
      </c>
      <c r="N17" s="481">
        <f t="shared" si="6"/>
        <v>20000</v>
      </c>
      <c r="O17" s="533">
        <f t="shared" si="1"/>
        <v>80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4000</v>
      </c>
      <c r="J18" s="155">
        <v>4000</v>
      </c>
      <c r="K18" s="155">
        <v>1738</v>
      </c>
      <c r="L18" s="251">
        <v>4000</v>
      </c>
      <c r="M18" s="155">
        <v>0</v>
      </c>
      <c r="N18" s="481">
        <f t="shared" si="6"/>
        <v>4000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11000</v>
      </c>
      <c r="J19" s="155">
        <v>11000</v>
      </c>
      <c r="K19" s="155">
        <v>6618</v>
      </c>
      <c r="L19" s="251">
        <v>11000</v>
      </c>
      <c r="M19" s="155">
        <v>0</v>
      </c>
      <c r="N19" s="481">
        <f t="shared" si="6"/>
        <v>11000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500</v>
      </c>
      <c r="J20" s="155">
        <v>500</v>
      </c>
      <c r="K20" s="155">
        <v>54</v>
      </c>
      <c r="L20" s="251">
        <v>500</v>
      </c>
      <c r="M20" s="155">
        <v>0</v>
      </c>
      <c r="N20" s="481">
        <f t="shared" si="6"/>
        <v>500</v>
      </c>
      <c r="O20" s="533">
        <f t="shared" si="1"/>
        <v>100</v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13000</v>
      </c>
      <c r="J22" s="155">
        <v>13000</v>
      </c>
      <c r="K22" s="155">
        <v>5977</v>
      </c>
      <c r="L22" s="251">
        <v>13000</v>
      </c>
      <c r="M22" s="155">
        <v>0</v>
      </c>
      <c r="N22" s="481">
        <f t="shared" si="6"/>
        <v>13000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800</v>
      </c>
      <c r="J23" s="155">
        <v>800</v>
      </c>
      <c r="K23" s="155">
        <v>230</v>
      </c>
      <c r="L23" s="251">
        <v>800</v>
      </c>
      <c r="M23" s="155">
        <v>0</v>
      </c>
      <c r="N23" s="481">
        <f t="shared" si="6"/>
        <v>800</v>
      </c>
      <c r="O23" s="533">
        <f t="shared" si="1"/>
        <v>100</v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9000</v>
      </c>
      <c r="J24" s="155">
        <v>13333</v>
      </c>
      <c r="K24" s="155">
        <v>6883</v>
      </c>
      <c r="L24" s="251">
        <f>16000-3680</f>
        <v>12320</v>
      </c>
      <c r="M24" s="155">
        <f>30121-9359-17082</f>
        <v>3680</v>
      </c>
      <c r="N24" s="481">
        <f t="shared" si="6"/>
        <v>16000</v>
      </c>
      <c r="O24" s="533">
        <f t="shared" si="1"/>
        <v>120.00300007500186</v>
      </c>
    </row>
    <row r="25" spans="2:15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30000</v>
      </c>
      <c r="J26" s="154">
        <f t="shared" si="7"/>
        <v>60936</v>
      </c>
      <c r="K26" s="154">
        <f t="shared" si="7"/>
        <v>9893</v>
      </c>
      <c r="L26" s="320">
        <f t="shared" ref="L26:N26" si="8">SUM(L27:L28)</f>
        <v>39199</v>
      </c>
      <c r="M26" s="154">
        <f t="shared" si="8"/>
        <v>26441</v>
      </c>
      <c r="N26" s="455">
        <f t="shared" si="8"/>
        <v>65640</v>
      </c>
      <c r="O26" s="532">
        <f t="shared" si="1"/>
        <v>107.71957463568333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20000</v>
      </c>
      <c r="J27" s="155">
        <v>30950</v>
      </c>
      <c r="K27" s="155">
        <v>0</v>
      </c>
      <c r="L27" s="251">
        <f>30950-9359+4700</f>
        <v>26291</v>
      </c>
      <c r="M27" s="155">
        <v>9359</v>
      </c>
      <c r="N27" s="481">
        <f t="shared" ref="N27:N28" si="9">SUM(L27:M27)</f>
        <v>35650</v>
      </c>
      <c r="O27" s="533">
        <f t="shared" si="1"/>
        <v>115.18578352180937</v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10000</v>
      </c>
      <c r="J28" s="155">
        <v>29986</v>
      </c>
      <c r="K28" s="155">
        <v>9893</v>
      </c>
      <c r="L28" s="251">
        <f>29990-17082</f>
        <v>12908</v>
      </c>
      <c r="M28" s="155">
        <v>17082</v>
      </c>
      <c r="N28" s="481">
        <f t="shared" si="9"/>
        <v>29990</v>
      </c>
      <c r="O28" s="533">
        <f t="shared" si="1"/>
        <v>100.01333955846061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653</v>
      </c>
      <c r="J30" s="266" t="s">
        <v>653</v>
      </c>
      <c r="K30" s="266" t="s">
        <v>653</v>
      </c>
      <c r="L30" s="322" t="s">
        <v>653</v>
      </c>
      <c r="M30" s="266"/>
      <c r="N30" s="450" t="s">
        <v>653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1024560</v>
      </c>
      <c r="J31" s="14">
        <f t="shared" si="10"/>
        <v>1059829</v>
      </c>
      <c r="K31" s="14">
        <f t="shared" si="10"/>
        <v>522429</v>
      </c>
      <c r="L31" s="259">
        <f t="shared" si="10"/>
        <v>1105269</v>
      </c>
      <c r="M31" s="14">
        <f t="shared" si="10"/>
        <v>30121</v>
      </c>
      <c r="N31" s="455">
        <f t="shared" si="10"/>
        <v>1135390</v>
      </c>
      <c r="O31" s="532">
        <f>IF(J31=0,"",N31/J31*100)</f>
        <v>107.12954637021632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/>
      <c r="J32" s="14"/>
      <c r="K32" s="14"/>
      <c r="L32" s="259"/>
      <c r="M32" s="14"/>
      <c r="N32" s="455"/>
      <c r="O32" s="533" t="str">
        <f>IF(J32=0,"",N32/J32*100)</f>
        <v/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7"/>
      <c r="J33" s="27"/>
      <c r="K33" s="27"/>
      <c r="L33" s="258"/>
      <c r="M33" s="27"/>
      <c r="N33" s="457"/>
      <c r="O33" s="533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3"/>
    </row>
    <row r="36" spans="2:15" ht="12.95" customHeight="1" x14ac:dyDescent="0.2">
      <c r="F36" s="121"/>
      <c r="G36" s="136"/>
      <c r="L36" s="312"/>
      <c r="M36" s="312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29"/>
  <dimension ref="B1:P94"/>
  <sheetViews>
    <sheetView topLeftCell="I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699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656</v>
      </c>
      <c r="C7" s="7" t="s">
        <v>691</v>
      </c>
      <c r="D7" s="7" t="s">
        <v>574</v>
      </c>
      <c r="E7" s="285" t="s">
        <v>658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1088080</v>
      </c>
      <c r="J8" s="154">
        <f t="shared" si="0"/>
        <v>1088080</v>
      </c>
      <c r="K8" s="154">
        <f t="shared" si="0"/>
        <v>523265</v>
      </c>
      <c r="L8" s="320">
        <f>SUM(L9:L10)</f>
        <v>1085150</v>
      </c>
      <c r="M8" s="154">
        <f>SUM(M9:M10)</f>
        <v>0</v>
      </c>
      <c r="N8" s="480">
        <f>SUM(N9:N10)</f>
        <v>1085150</v>
      </c>
      <c r="O8" s="532">
        <f t="shared" ref="O8:O29" si="1">IF(J8=0,"",N8/J8*100)</f>
        <v>99.730718329534596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920460</v>
      </c>
      <c r="J9" s="155">
        <v>920460</v>
      </c>
      <c r="K9" s="155">
        <v>444201</v>
      </c>
      <c r="L9" s="251">
        <f>902750+1200</f>
        <v>903950</v>
      </c>
      <c r="M9" s="155">
        <v>0</v>
      </c>
      <c r="N9" s="481">
        <f>SUM(L9:M9)</f>
        <v>903950</v>
      </c>
      <c r="O9" s="533">
        <f t="shared" si="1"/>
        <v>98.206331616800284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167620</v>
      </c>
      <c r="J10" s="155">
        <v>167620</v>
      </c>
      <c r="K10" s="155">
        <v>79064</v>
      </c>
      <c r="L10" s="251">
        <f>166100+1500+34*400</f>
        <v>181200</v>
      </c>
      <c r="M10" s="155">
        <v>0</v>
      </c>
      <c r="N10" s="481">
        <f t="shared" ref="N10" si="2">SUM(L10:M10)</f>
        <v>181200</v>
      </c>
      <c r="O10" s="533">
        <f t="shared" si="1"/>
        <v>108.10165851330392</v>
      </c>
    </row>
    <row r="11" spans="2:15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96930</v>
      </c>
      <c r="J12" s="154">
        <f t="shared" si="3"/>
        <v>96930</v>
      </c>
      <c r="K12" s="154">
        <f t="shared" si="3"/>
        <v>46692</v>
      </c>
      <c r="L12" s="320">
        <f t="shared" ref="L12:N12" si="4">L13</f>
        <v>96770</v>
      </c>
      <c r="M12" s="154">
        <f t="shared" si="4"/>
        <v>0</v>
      </c>
      <c r="N12" s="480">
        <f t="shared" si="4"/>
        <v>96770</v>
      </c>
      <c r="O12" s="532">
        <f t="shared" si="1"/>
        <v>99.834932425461673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96930</v>
      </c>
      <c r="J13" s="155">
        <v>96930</v>
      </c>
      <c r="K13" s="155">
        <v>46692</v>
      </c>
      <c r="L13" s="251">
        <f>96320+450</f>
        <v>96770</v>
      </c>
      <c r="M13" s="155">
        <v>0</v>
      </c>
      <c r="N13" s="481">
        <f>SUM(L13:M13)</f>
        <v>96770</v>
      </c>
      <c r="O13" s="533">
        <f t="shared" si="1"/>
        <v>99.834932425461673</v>
      </c>
    </row>
    <row r="14" spans="2:15" ht="12.95" customHeight="1" x14ac:dyDescent="0.25">
      <c r="B14" s="10"/>
      <c r="C14" s="11"/>
      <c r="D14" s="11"/>
      <c r="E14" s="11"/>
      <c r="F14" s="119"/>
      <c r="G14" s="134"/>
      <c r="H14" s="22"/>
      <c r="I14" s="154"/>
      <c r="J14" s="154"/>
      <c r="K14" s="154"/>
      <c r="L14" s="320"/>
      <c r="M14" s="154"/>
      <c r="N14" s="455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97920</v>
      </c>
      <c r="J15" s="156">
        <f t="shared" si="5"/>
        <v>97920</v>
      </c>
      <c r="K15" s="156">
        <f t="shared" si="5"/>
        <v>21102</v>
      </c>
      <c r="L15" s="321">
        <f>SUM(L16:L24)</f>
        <v>89170</v>
      </c>
      <c r="M15" s="156">
        <f>SUM(M16:M24)</f>
        <v>0</v>
      </c>
      <c r="N15" s="455">
        <f>SUM(N16:N24)</f>
        <v>89170</v>
      </c>
      <c r="O15" s="532">
        <f t="shared" si="1"/>
        <v>91.064133986928113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3500</v>
      </c>
      <c r="J16" s="155">
        <v>3500</v>
      </c>
      <c r="K16" s="155">
        <v>1357</v>
      </c>
      <c r="L16" s="251">
        <v>3500</v>
      </c>
      <c r="M16" s="155">
        <v>0</v>
      </c>
      <c r="N16" s="481">
        <f t="shared" ref="N16:N24" si="6">SUM(L16:M16)</f>
        <v>3500</v>
      </c>
      <c r="O16" s="533">
        <f t="shared" si="1"/>
        <v>100</v>
      </c>
    </row>
    <row r="17" spans="2:16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45000</v>
      </c>
      <c r="J17" s="155">
        <v>45000</v>
      </c>
      <c r="K17" s="155">
        <v>2072</v>
      </c>
      <c r="L17" s="251">
        <v>38000</v>
      </c>
      <c r="M17" s="155">
        <v>0</v>
      </c>
      <c r="N17" s="481">
        <f t="shared" si="6"/>
        <v>38000</v>
      </c>
      <c r="O17" s="533">
        <f t="shared" si="1"/>
        <v>84.444444444444443</v>
      </c>
    </row>
    <row r="18" spans="2:16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3000</v>
      </c>
      <c r="J18" s="155">
        <v>3000</v>
      </c>
      <c r="K18" s="155">
        <v>1406</v>
      </c>
      <c r="L18" s="251">
        <v>3000</v>
      </c>
      <c r="M18" s="155">
        <v>0</v>
      </c>
      <c r="N18" s="481">
        <f t="shared" si="6"/>
        <v>3000</v>
      </c>
      <c r="O18" s="533">
        <f t="shared" si="1"/>
        <v>100</v>
      </c>
    </row>
    <row r="19" spans="2:16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12000</v>
      </c>
      <c r="J19" s="155">
        <v>12000</v>
      </c>
      <c r="K19" s="155">
        <v>5803</v>
      </c>
      <c r="L19" s="251">
        <v>12000</v>
      </c>
      <c r="M19" s="155">
        <v>0</v>
      </c>
      <c r="N19" s="481">
        <f t="shared" si="6"/>
        <v>12000</v>
      </c>
      <c r="O19" s="533">
        <f t="shared" si="1"/>
        <v>100</v>
      </c>
    </row>
    <row r="20" spans="2:16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500</v>
      </c>
      <c r="J20" s="155">
        <v>500</v>
      </c>
      <c r="K20" s="155">
        <v>170</v>
      </c>
      <c r="L20" s="251">
        <v>500</v>
      </c>
      <c r="M20" s="155">
        <v>0</v>
      </c>
      <c r="N20" s="481">
        <f t="shared" si="6"/>
        <v>500</v>
      </c>
      <c r="O20" s="533">
        <f t="shared" si="1"/>
        <v>100</v>
      </c>
    </row>
    <row r="21" spans="2:16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6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15000</v>
      </c>
      <c r="J22" s="155">
        <v>15000</v>
      </c>
      <c r="K22" s="155">
        <v>1764</v>
      </c>
      <c r="L22" s="251">
        <v>13000</v>
      </c>
      <c r="M22" s="155">
        <v>0</v>
      </c>
      <c r="N22" s="481">
        <f t="shared" si="6"/>
        <v>13000</v>
      </c>
      <c r="O22" s="533">
        <f t="shared" si="1"/>
        <v>86.666666666666671</v>
      </c>
    </row>
    <row r="23" spans="2:16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920</v>
      </c>
      <c r="J23" s="155">
        <v>920</v>
      </c>
      <c r="K23" s="155">
        <v>648</v>
      </c>
      <c r="L23" s="251">
        <v>1170</v>
      </c>
      <c r="M23" s="155">
        <v>0</v>
      </c>
      <c r="N23" s="481">
        <f t="shared" si="6"/>
        <v>1170</v>
      </c>
      <c r="O23" s="533">
        <f t="shared" si="1"/>
        <v>127.17391304347827</v>
      </c>
    </row>
    <row r="24" spans="2:16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18000</v>
      </c>
      <c r="J24" s="155">
        <v>18000</v>
      </c>
      <c r="K24" s="155">
        <v>7882</v>
      </c>
      <c r="L24" s="251">
        <v>18000</v>
      </c>
      <c r="M24" s="155">
        <v>0</v>
      </c>
      <c r="N24" s="481">
        <f t="shared" si="6"/>
        <v>18000</v>
      </c>
      <c r="O24" s="533">
        <f t="shared" si="1"/>
        <v>100</v>
      </c>
    </row>
    <row r="25" spans="2:16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6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10000</v>
      </c>
      <c r="J26" s="154">
        <f t="shared" si="7"/>
        <v>10000</v>
      </c>
      <c r="K26" s="154">
        <f t="shared" si="7"/>
        <v>0</v>
      </c>
      <c r="L26" s="320">
        <f t="shared" ref="L26:N26" si="8">SUM(L27:L28)</f>
        <v>16020</v>
      </c>
      <c r="M26" s="154">
        <f t="shared" si="8"/>
        <v>0</v>
      </c>
      <c r="N26" s="455">
        <f t="shared" si="8"/>
        <v>16020</v>
      </c>
      <c r="O26" s="532">
        <f t="shared" si="1"/>
        <v>160.20000000000002</v>
      </c>
    </row>
    <row r="27" spans="2:16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10000</v>
      </c>
      <c r="J27" s="155">
        <v>10000</v>
      </c>
      <c r="K27" s="155">
        <v>0</v>
      </c>
      <c r="L27" s="251">
        <f>10000+6020</f>
        <v>16020</v>
      </c>
      <c r="M27" s="155">
        <v>0</v>
      </c>
      <c r="N27" s="481">
        <f t="shared" ref="N27:N28" si="9">SUM(L27:M27)</f>
        <v>16020</v>
      </c>
      <c r="O27" s="533">
        <f t="shared" si="1"/>
        <v>160.20000000000002</v>
      </c>
      <c r="P27" s="275"/>
    </row>
    <row r="28" spans="2:16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0</v>
      </c>
      <c r="J28" s="155">
        <v>0</v>
      </c>
      <c r="K28" s="155">
        <v>0</v>
      </c>
      <c r="L28" s="251">
        <v>0</v>
      </c>
      <c r="M28" s="155">
        <v>0</v>
      </c>
      <c r="N28" s="481">
        <f t="shared" si="9"/>
        <v>0</v>
      </c>
      <c r="O28" s="533" t="str">
        <f t="shared" si="1"/>
        <v/>
      </c>
      <c r="P28" s="275"/>
    </row>
    <row r="29" spans="2:16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6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700</v>
      </c>
      <c r="J30" s="266" t="s">
        <v>700</v>
      </c>
      <c r="K30" s="266" t="s">
        <v>701</v>
      </c>
      <c r="L30" s="322" t="s">
        <v>701</v>
      </c>
      <c r="M30" s="266"/>
      <c r="N30" s="450" t="s">
        <v>701</v>
      </c>
      <c r="O30" s="533"/>
    </row>
    <row r="31" spans="2:16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1292930</v>
      </c>
      <c r="J31" s="14">
        <f t="shared" si="10"/>
        <v>1292930</v>
      </c>
      <c r="K31" s="14">
        <f t="shared" si="10"/>
        <v>591059</v>
      </c>
      <c r="L31" s="259">
        <f t="shared" si="10"/>
        <v>1287110</v>
      </c>
      <c r="M31" s="14">
        <f t="shared" si="10"/>
        <v>0</v>
      </c>
      <c r="N31" s="455">
        <f t="shared" si="10"/>
        <v>1287110</v>
      </c>
      <c r="O31" s="532">
        <f>IF(J31=0,"",N31/J31*100)</f>
        <v>99.549859621170526</v>
      </c>
    </row>
    <row r="32" spans="2:16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/>
      <c r="J32" s="14"/>
      <c r="K32" s="14"/>
      <c r="L32" s="259"/>
      <c r="M32" s="14"/>
      <c r="N32" s="455"/>
      <c r="O32" s="533" t="str">
        <f>IF(J32=0,"",N32/J32*100)</f>
        <v/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61"/>
      <c r="J33" s="27"/>
      <c r="K33" s="27"/>
      <c r="L33" s="258"/>
      <c r="M33" s="27"/>
      <c r="N33" s="457"/>
      <c r="O33" s="533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L35" s="312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0"/>
  <dimension ref="B1:Q94"/>
  <sheetViews>
    <sheetView topLeftCell="I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702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656</v>
      </c>
      <c r="C7" s="7" t="s">
        <v>691</v>
      </c>
      <c r="D7" s="7" t="s">
        <v>576</v>
      </c>
      <c r="E7" s="285" t="s">
        <v>658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1188840</v>
      </c>
      <c r="J8" s="154">
        <f t="shared" si="0"/>
        <v>1188840</v>
      </c>
      <c r="K8" s="154">
        <f t="shared" si="0"/>
        <v>632042</v>
      </c>
      <c r="L8" s="320">
        <f>SUM(L9:L10)</f>
        <v>1241330</v>
      </c>
      <c r="M8" s="154">
        <f>SUM(M9:M10)</f>
        <v>0</v>
      </c>
      <c r="N8" s="480">
        <f>SUM(N9:N10)</f>
        <v>1241330</v>
      </c>
      <c r="O8" s="532">
        <f t="shared" ref="O8:O29" si="1">IF(J8=0,"",N8/J8*100)</f>
        <v>104.41522828976144</v>
      </c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978320</v>
      </c>
      <c r="J9" s="155">
        <v>978320</v>
      </c>
      <c r="K9" s="155">
        <v>507200</v>
      </c>
      <c r="L9" s="251">
        <f>978990+1350+800+9000</f>
        <v>990140</v>
      </c>
      <c r="M9" s="155">
        <v>0</v>
      </c>
      <c r="N9" s="481">
        <f>SUM(L9:M9)</f>
        <v>990140</v>
      </c>
      <c r="O9" s="533">
        <f t="shared" si="1"/>
        <v>101.20819363807342</v>
      </c>
      <c r="Q9" s="45"/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210520</v>
      </c>
      <c r="J10" s="155">
        <v>210520</v>
      </c>
      <c r="K10" s="155">
        <v>124842</v>
      </c>
      <c r="L10" s="251">
        <f>230740+2450+1400+1000+39*400</f>
        <v>251190</v>
      </c>
      <c r="M10" s="155">
        <v>0</v>
      </c>
      <c r="N10" s="481">
        <f t="shared" ref="N10" si="2">SUM(L10:M10)</f>
        <v>251190</v>
      </c>
      <c r="O10" s="533">
        <f t="shared" si="1"/>
        <v>119.31882956488695</v>
      </c>
    </row>
    <row r="11" spans="2:17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107190</v>
      </c>
      <c r="J12" s="154">
        <f t="shared" si="3"/>
        <v>107190</v>
      </c>
      <c r="K12" s="154">
        <f t="shared" si="3"/>
        <v>53408</v>
      </c>
      <c r="L12" s="320">
        <f t="shared" ref="L12:N12" si="4">L13</f>
        <v>104660</v>
      </c>
      <c r="M12" s="154">
        <f t="shared" si="4"/>
        <v>0</v>
      </c>
      <c r="N12" s="480">
        <f t="shared" si="4"/>
        <v>104660</v>
      </c>
      <c r="O12" s="532">
        <f t="shared" si="1"/>
        <v>97.639705196380248</v>
      </c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107190</v>
      </c>
      <c r="J13" s="155">
        <v>107190</v>
      </c>
      <c r="K13" s="155">
        <v>53408</v>
      </c>
      <c r="L13" s="251">
        <f>103050+390+220+1000</f>
        <v>104660</v>
      </c>
      <c r="M13" s="155">
        <v>0</v>
      </c>
      <c r="N13" s="481">
        <f>SUM(L13:M13)</f>
        <v>104660</v>
      </c>
      <c r="O13" s="533">
        <f t="shared" si="1"/>
        <v>97.639705196380248</v>
      </c>
    </row>
    <row r="14" spans="2:17" ht="12.95" customHeight="1" x14ac:dyDescent="0.25">
      <c r="B14" s="10"/>
      <c r="C14" s="11"/>
      <c r="D14" s="11"/>
      <c r="E14" s="11"/>
      <c r="F14" s="119"/>
      <c r="G14" s="134"/>
      <c r="H14" s="22"/>
      <c r="I14" s="154"/>
      <c r="J14" s="154"/>
      <c r="K14" s="154"/>
      <c r="L14" s="320"/>
      <c r="M14" s="154"/>
      <c r="N14" s="455"/>
      <c r="O14" s="533" t="str">
        <f t="shared" si="1"/>
        <v/>
      </c>
    </row>
    <row r="15" spans="2:17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152560</v>
      </c>
      <c r="J15" s="156">
        <f t="shared" si="5"/>
        <v>152560</v>
      </c>
      <c r="K15" s="156">
        <f t="shared" si="5"/>
        <v>32632</v>
      </c>
      <c r="L15" s="321">
        <f>SUM(L16:L24)</f>
        <v>124300</v>
      </c>
      <c r="M15" s="156">
        <f>SUM(M16:M24)</f>
        <v>0</v>
      </c>
      <c r="N15" s="455">
        <f>SUM(N16:N24)</f>
        <v>124300</v>
      </c>
      <c r="O15" s="532">
        <f t="shared" si="1"/>
        <v>81.476140534871519</v>
      </c>
    </row>
    <row r="16" spans="2:17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4000</v>
      </c>
      <c r="J16" s="155">
        <v>4000</v>
      </c>
      <c r="K16" s="155">
        <v>2359</v>
      </c>
      <c r="L16" s="251">
        <v>4000</v>
      </c>
      <c r="M16" s="155">
        <v>0</v>
      </c>
      <c r="N16" s="481">
        <f t="shared" ref="N16:N24" si="6">SUM(L16:M16)</f>
        <v>4000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90000</v>
      </c>
      <c r="J17" s="155">
        <v>90000</v>
      </c>
      <c r="K17" s="155">
        <v>4194</v>
      </c>
      <c r="L17" s="251">
        <v>65000</v>
      </c>
      <c r="M17" s="155">
        <v>0</v>
      </c>
      <c r="N17" s="481">
        <f t="shared" si="6"/>
        <v>65000</v>
      </c>
      <c r="O17" s="533">
        <f t="shared" si="1"/>
        <v>72.222222222222214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7000</v>
      </c>
      <c r="J18" s="155">
        <v>7000</v>
      </c>
      <c r="K18" s="155">
        <v>2804</v>
      </c>
      <c r="L18" s="251">
        <v>6000</v>
      </c>
      <c r="M18" s="155">
        <v>0</v>
      </c>
      <c r="N18" s="481">
        <f t="shared" si="6"/>
        <v>6000</v>
      </c>
      <c r="O18" s="533">
        <f t="shared" si="1"/>
        <v>85.714285714285708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14000</v>
      </c>
      <c r="J19" s="155">
        <v>14000</v>
      </c>
      <c r="K19" s="155">
        <v>4903</v>
      </c>
      <c r="L19" s="251">
        <v>14000</v>
      </c>
      <c r="M19" s="155">
        <v>0</v>
      </c>
      <c r="N19" s="481">
        <f t="shared" si="6"/>
        <v>14000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1500</v>
      </c>
      <c r="J20" s="155">
        <v>1500</v>
      </c>
      <c r="K20" s="155">
        <v>820</v>
      </c>
      <c r="L20" s="251">
        <v>1200</v>
      </c>
      <c r="M20" s="155">
        <v>0</v>
      </c>
      <c r="N20" s="481">
        <f t="shared" si="6"/>
        <v>1200</v>
      </c>
      <c r="O20" s="533">
        <f t="shared" si="1"/>
        <v>80</v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14000</v>
      </c>
      <c r="J22" s="155">
        <v>14000</v>
      </c>
      <c r="K22" s="155">
        <v>5478</v>
      </c>
      <c r="L22" s="251">
        <v>14000</v>
      </c>
      <c r="M22" s="155">
        <v>0</v>
      </c>
      <c r="N22" s="481">
        <f t="shared" si="6"/>
        <v>14000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2060</v>
      </c>
      <c r="J23" s="155">
        <v>2060</v>
      </c>
      <c r="K23" s="155">
        <v>1603</v>
      </c>
      <c r="L23" s="251">
        <v>2100</v>
      </c>
      <c r="M23" s="155">
        <v>0</v>
      </c>
      <c r="N23" s="481">
        <f t="shared" si="6"/>
        <v>2100</v>
      </c>
      <c r="O23" s="533">
        <f t="shared" si="1"/>
        <v>101.94174757281553</v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20000</v>
      </c>
      <c r="J24" s="155">
        <v>20000</v>
      </c>
      <c r="K24" s="155">
        <v>10471</v>
      </c>
      <c r="L24" s="251">
        <v>18000</v>
      </c>
      <c r="M24" s="155">
        <v>0</v>
      </c>
      <c r="N24" s="481">
        <f t="shared" si="6"/>
        <v>18000</v>
      </c>
      <c r="O24" s="533">
        <f t="shared" si="1"/>
        <v>90</v>
      </c>
    </row>
    <row r="25" spans="2:15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30000</v>
      </c>
      <c r="J26" s="154">
        <f t="shared" si="7"/>
        <v>55918</v>
      </c>
      <c r="K26" s="154">
        <f t="shared" si="7"/>
        <v>29299</v>
      </c>
      <c r="L26" s="320">
        <f t="shared" ref="L26:N26" si="8">SUM(L27:L28)</f>
        <v>24103</v>
      </c>
      <c r="M26" s="154">
        <f t="shared" si="8"/>
        <v>45827</v>
      </c>
      <c r="N26" s="455">
        <f t="shared" si="8"/>
        <v>69930</v>
      </c>
      <c r="O26" s="532">
        <f t="shared" si="1"/>
        <v>125.05812081977182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24000</v>
      </c>
      <c r="J27" s="155">
        <v>26457</v>
      </c>
      <c r="K27" s="155">
        <v>23568</v>
      </c>
      <c r="L27" s="251">
        <f>33460-26026</f>
        <v>7434</v>
      </c>
      <c r="M27" s="155">
        <f>26026</f>
        <v>26026</v>
      </c>
      <c r="N27" s="481">
        <f t="shared" ref="N27:N28" si="9">SUM(L27:M27)</f>
        <v>33460</v>
      </c>
      <c r="O27" s="533">
        <f t="shared" si="1"/>
        <v>126.46936538534226</v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6000</v>
      </c>
      <c r="J28" s="155">
        <v>29461</v>
      </c>
      <c r="K28" s="155">
        <v>5731</v>
      </c>
      <c r="L28" s="251">
        <f>36470-19801</f>
        <v>16669</v>
      </c>
      <c r="M28" s="155">
        <v>19801</v>
      </c>
      <c r="N28" s="481">
        <f t="shared" si="9"/>
        <v>36470</v>
      </c>
      <c r="O28" s="533">
        <f t="shared" si="1"/>
        <v>123.79077424391569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703</v>
      </c>
      <c r="J30" s="266" t="s">
        <v>703</v>
      </c>
      <c r="K30" s="266" t="s">
        <v>704</v>
      </c>
      <c r="L30" s="322" t="s">
        <v>972</v>
      </c>
      <c r="M30" s="266"/>
      <c r="N30" s="450" t="s">
        <v>972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1478590</v>
      </c>
      <c r="J31" s="14">
        <f t="shared" si="10"/>
        <v>1504508</v>
      </c>
      <c r="K31" s="14">
        <f t="shared" si="10"/>
        <v>747381</v>
      </c>
      <c r="L31" s="259">
        <f t="shared" si="10"/>
        <v>1494393</v>
      </c>
      <c r="M31" s="14">
        <f t="shared" si="10"/>
        <v>45827</v>
      </c>
      <c r="N31" s="455">
        <f t="shared" si="10"/>
        <v>1540220</v>
      </c>
      <c r="O31" s="532">
        <f>IF(J31=0,"",N31/J31*100)</f>
        <v>102.37366634142191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/>
      <c r="J32" s="14"/>
      <c r="K32" s="14"/>
      <c r="L32" s="259"/>
      <c r="M32" s="14"/>
      <c r="N32" s="455"/>
      <c r="O32" s="533" t="str">
        <f>IF(J32=0,"",N32/J32*100)</f>
        <v/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7"/>
      <c r="J33" s="27"/>
      <c r="K33" s="27"/>
      <c r="L33" s="258"/>
      <c r="M33" s="27"/>
      <c r="N33" s="457"/>
      <c r="O33" s="533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L35" s="312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1"/>
  <dimension ref="B1:O94"/>
  <sheetViews>
    <sheetView topLeftCell="I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705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656</v>
      </c>
      <c r="C7" s="7" t="s">
        <v>691</v>
      </c>
      <c r="D7" s="7" t="s">
        <v>580</v>
      </c>
      <c r="E7" s="285" t="s">
        <v>658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540630</v>
      </c>
      <c r="J8" s="154">
        <f t="shared" si="0"/>
        <v>540630</v>
      </c>
      <c r="K8" s="154">
        <f t="shared" si="0"/>
        <v>248212</v>
      </c>
      <c r="L8" s="320">
        <f>SUM(L9:L10)</f>
        <v>521880</v>
      </c>
      <c r="M8" s="154">
        <f>SUM(M9:M10)</f>
        <v>0</v>
      </c>
      <c r="N8" s="480">
        <f>SUM(N9:N10)</f>
        <v>521880</v>
      </c>
      <c r="O8" s="532">
        <f t="shared" ref="O8:O29" si="1">IF(J8=0,"",N8/J8*100)</f>
        <v>96.531823983130792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436510</v>
      </c>
      <c r="J9" s="155">
        <v>436510</v>
      </c>
      <c r="K9" s="155">
        <v>196724</v>
      </c>
      <c r="L9" s="251">
        <f>409430+6000</f>
        <v>415430</v>
      </c>
      <c r="M9" s="155">
        <v>0</v>
      </c>
      <c r="N9" s="481">
        <f>SUM(L9:M9)</f>
        <v>415430</v>
      </c>
      <c r="O9" s="533">
        <f t="shared" si="1"/>
        <v>95.17078646537307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104120</v>
      </c>
      <c r="J10" s="155">
        <v>104120</v>
      </c>
      <c r="K10" s="155">
        <v>51488</v>
      </c>
      <c r="L10" s="251">
        <f>100050+16*400</f>
        <v>106450</v>
      </c>
      <c r="M10" s="155">
        <v>0</v>
      </c>
      <c r="N10" s="481">
        <f t="shared" ref="N10" si="2">SUM(L10:M10)</f>
        <v>106450</v>
      </c>
      <c r="O10" s="533">
        <f t="shared" si="1"/>
        <v>102.23780253553592</v>
      </c>
    </row>
    <row r="11" spans="2:15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45980</v>
      </c>
      <c r="J12" s="154">
        <f t="shared" si="3"/>
        <v>45980</v>
      </c>
      <c r="K12" s="154">
        <f t="shared" si="3"/>
        <v>21992</v>
      </c>
      <c r="L12" s="320">
        <f t="shared" ref="L12:N12" si="4">L13</f>
        <v>45880</v>
      </c>
      <c r="M12" s="154">
        <f t="shared" si="4"/>
        <v>0</v>
      </c>
      <c r="N12" s="480">
        <f t="shared" si="4"/>
        <v>45880</v>
      </c>
      <c r="O12" s="532">
        <f t="shared" si="1"/>
        <v>99.782514136581128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45980</v>
      </c>
      <c r="J13" s="155">
        <v>45980</v>
      </c>
      <c r="K13" s="155">
        <v>21992</v>
      </c>
      <c r="L13" s="251">
        <f>45130+750</f>
        <v>45880</v>
      </c>
      <c r="M13" s="155">
        <v>0</v>
      </c>
      <c r="N13" s="481">
        <f>SUM(L13:M13)</f>
        <v>45880</v>
      </c>
      <c r="O13" s="533">
        <f t="shared" si="1"/>
        <v>99.782514136581128</v>
      </c>
    </row>
    <row r="14" spans="2:15" ht="12.95" customHeight="1" x14ac:dyDescent="0.25">
      <c r="B14" s="10"/>
      <c r="C14" s="11"/>
      <c r="D14" s="11"/>
      <c r="E14" s="11"/>
      <c r="F14" s="119"/>
      <c r="G14" s="134"/>
      <c r="H14" s="22"/>
      <c r="I14" s="154"/>
      <c r="J14" s="154"/>
      <c r="K14" s="154"/>
      <c r="L14" s="320"/>
      <c r="M14" s="154"/>
      <c r="N14" s="455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61040</v>
      </c>
      <c r="J15" s="156">
        <f t="shared" si="5"/>
        <v>61040</v>
      </c>
      <c r="K15" s="156">
        <f t="shared" si="5"/>
        <v>25167</v>
      </c>
      <c r="L15" s="321">
        <f>SUM(L16:L24)</f>
        <v>60040</v>
      </c>
      <c r="M15" s="156">
        <f>SUM(M16:M24)</f>
        <v>0</v>
      </c>
      <c r="N15" s="455">
        <f>SUM(N16:N24)</f>
        <v>60040</v>
      </c>
      <c r="O15" s="532">
        <f t="shared" si="1"/>
        <v>98.361730013106168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2500</v>
      </c>
      <c r="J16" s="155">
        <v>2500</v>
      </c>
      <c r="K16" s="155">
        <v>1495</v>
      </c>
      <c r="L16" s="251">
        <v>2500</v>
      </c>
      <c r="M16" s="155">
        <v>0</v>
      </c>
      <c r="N16" s="481">
        <f t="shared" ref="N16:N24" si="6">SUM(L16:M16)</f>
        <v>2500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25000</v>
      </c>
      <c r="J17" s="155">
        <v>25000</v>
      </c>
      <c r="K17" s="155">
        <v>8650</v>
      </c>
      <c r="L17" s="251">
        <v>22000</v>
      </c>
      <c r="M17" s="155">
        <v>0</v>
      </c>
      <c r="N17" s="481">
        <f t="shared" si="6"/>
        <v>22000</v>
      </c>
      <c r="O17" s="533">
        <f t="shared" si="1"/>
        <v>88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3500</v>
      </c>
      <c r="J18" s="155">
        <v>3500</v>
      </c>
      <c r="K18" s="155">
        <v>1468</v>
      </c>
      <c r="L18" s="251">
        <v>3000</v>
      </c>
      <c r="M18" s="155">
        <v>0</v>
      </c>
      <c r="N18" s="481">
        <f t="shared" si="6"/>
        <v>3000</v>
      </c>
      <c r="O18" s="533">
        <f t="shared" si="1"/>
        <v>85.714285714285708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9000</v>
      </c>
      <c r="J19" s="155">
        <v>9000</v>
      </c>
      <c r="K19" s="155">
        <v>1382</v>
      </c>
      <c r="L19" s="251">
        <v>6000</v>
      </c>
      <c r="M19" s="155">
        <v>0</v>
      </c>
      <c r="N19" s="481">
        <f t="shared" si="6"/>
        <v>6000</v>
      </c>
      <c r="O19" s="533">
        <f t="shared" si="1"/>
        <v>66.666666666666657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600</v>
      </c>
      <c r="J20" s="155">
        <v>600</v>
      </c>
      <c r="K20" s="155">
        <v>173</v>
      </c>
      <c r="L20" s="251">
        <v>600</v>
      </c>
      <c r="M20" s="155">
        <v>0</v>
      </c>
      <c r="N20" s="481">
        <f t="shared" si="6"/>
        <v>600</v>
      </c>
      <c r="O20" s="533">
        <f t="shared" si="1"/>
        <v>100</v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6000</v>
      </c>
      <c r="J22" s="155">
        <v>2500</v>
      </c>
      <c r="K22" s="155">
        <v>430</v>
      </c>
      <c r="L22" s="251">
        <v>4000</v>
      </c>
      <c r="M22" s="155">
        <v>0</v>
      </c>
      <c r="N22" s="481">
        <f t="shared" si="6"/>
        <v>4000</v>
      </c>
      <c r="O22" s="533">
        <f t="shared" si="1"/>
        <v>160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440</v>
      </c>
      <c r="J23" s="155">
        <v>440</v>
      </c>
      <c r="K23" s="155">
        <v>184</v>
      </c>
      <c r="L23" s="251">
        <v>440</v>
      </c>
      <c r="M23" s="155">
        <v>0</v>
      </c>
      <c r="N23" s="481">
        <f t="shared" si="6"/>
        <v>440</v>
      </c>
      <c r="O23" s="533">
        <f t="shared" si="1"/>
        <v>100</v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14000</v>
      </c>
      <c r="J24" s="155">
        <v>17500</v>
      </c>
      <c r="K24" s="155">
        <v>11385</v>
      </c>
      <c r="L24" s="251">
        <v>21500</v>
      </c>
      <c r="M24" s="155">
        <v>0</v>
      </c>
      <c r="N24" s="481">
        <f t="shared" si="6"/>
        <v>21500</v>
      </c>
      <c r="O24" s="533">
        <f t="shared" si="1"/>
        <v>122.85714285714286</v>
      </c>
    </row>
    <row r="25" spans="2:15" ht="12.95" customHeight="1" x14ac:dyDescent="0.2">
      <c r="B25" s="10"/>
      <c r="C25" s="11"/>
      <c r="D25" s="11"/>
      <c r="E25" s="11"/>
      <c r="F25" s="119"/>
      <c r="G25" s="134"/>
      <c r="H25" s="22"/>
      <c r="I25" s="154"/>
      <c r="J25" s="154"/>
      <c r="K25" s="154"/>
      <c r="L25" s="320"/>
      <c r="M25" s="154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10000</v>
      </c>
      <c r="J26" s="154">
        <f t="shared" si="7"/>
        <v>19779</v>
      </c>
      <c r="K26" s="154">
        <f t="shared" si="7"/>
        <v>0</v>
      </c>
      <c r="L26" s="320">
        <f t="shared" ref="L26:N26" si="8">SUM(L27:L28)</f>
        <v>10000</v>
      </c>
      <c r="M26" s="154">
        <f t="shared" si="8"/>
        <v>9780</v>
      </c>
      <c r="N26" s="455">
        <f t="shared" si="8"/>
        <v>19780</v>
      </c>
      <c r="O26" s="532">
        <f t="shared" si="1"/>
        <v>100.00505586733404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10000</v>
      </c>
      <c r="J27" s="155">
        <f>10000+9779</f>
        <v>19779</v>
      </c>
      <c r="K27" s="155">
        <v>0</v>
      </c>
      <c r="L27" s="251">
        <f>14000-9780</f>
        <v>4220</v>
      </c>
      <c r="M27" s="155">
        <v>9780</v>
      </c>
      <c r="N27" s="481">
        <f t="shared" ref="N27:N28" si="9">SUM(L27:M27)</f>
        <v>14000</v>
      </c>
      <c r="O27" s="533">
        <f t="shared" si="1"/>
        <v>70.782142676576171</v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0</v>
      </c>
      <c r="J28" s="155">
        <v>0</v>
      </c>
      <c r="K28" s="155">
        <v>0</v>
      </c>
      <c r="L28" s="251">
        <v>5780</v>
      </c>
      <c r="M28" s="155">
        <v>0</v>
      </c>
      <c r="N28" s="481">
        <f t="shared" si="9"/>
        <v>5780</v>
      </c>
      <c r="O28" s="533" t="str">
        <f t="shared" si="1"/>
        <v/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706</v>
      </c>
      <c r="J30" s="266" t="s">
        <v>706</v>
      </c>
      <c r="K30" s="266" t="s">
        <v>707</v>
      </c>
      <c r="L30" s="322" t="s">
        <v>708</v>
      </c>
      <c r="M30" s="266"/>
      <c r="N30" s="450" t="s">
        <v>708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657650</v>
      </c>
      <c r="J31" s="14">
        <f t="shared" si="10"/>
        <v>667429</v>
      </c>
      <c r="K31" s="14">
        <f t="shared" si="10"/>
        <v>295371</v>
      </c>
      <c r="L31" s="259">
        <f t="shared" si="10"/>
        <v>637800</v>
      </c>
      <c r="M31" s="14">
        <f t="shared" si="10"/>
        <v>9780</v>
      </c>
      <c r="N31" s="455">
        <f t="shared" si="10"/>
        <v>647580</v>
      </c>
      <c r="O31" s="532">
        <f>IF(J31=0,"",N31/J31*100)</f>
        <v>97.026050711011962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/>
      <c r="J32" s="14"/>
      <c r="K32" s="14"/>
      <c r="L32" s="259"/>
      <c r="M32" s="14"/>
      <c r="N32" s="455"/>
      <c r="O32" s="533" t="str">
        <f>IF(J32=0,"",N32/J32*100)</f>
        <v/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7"/>
      <c r="J33" s="27"/>
      <c r="K33" s="27"/>
      <c r="L33" s="258"/>
      <c r="M33" s="27"/>
      <c r="N33" s="457"/>
      <c r="O33" s="533" t="str">
        <f>IF(J33=0,"",N33/J33*100)</f>
        <v/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L35" s="312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2"/>
  <dimension ref="B1:Q94"/>
  <sheetViews>
    <sheetView topLeftCell="I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709</v>
      </c>
      <c r="C2" s="639"/>
      <c r="D2" s="639"/>
      <c r="E2" s="639"/>
      <c r="F2" s="639"/>
      <c r="G2" s="639"/>
      <c r="H2" s="639"/>
      <c r="I2" s="639"/>
      <c r="J2" s="667"/>
      <c r="K2" s="667"/>
      <c r="L2" s="667"/>
      <c r="M2" s="667"/>
      <c r="N2" s="667"/>
      <c r="O2" s="668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656</v>
      </c>
      <c r="C7" s="7" t="s">
        <v>691</v>
      </c>
      <c r="D7" s="7" t="s">
        <v>710</v>
      </c>
      <c r="E7" s="285" t="s">
        <v>658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822210</v>
      </c>
      <c r="J8" s="154">
        <f t="shared" si="0"/>
        <v>822210</v>
      </c>
      <c r="K8" s="154">
        <f t="shared" si="0"/>
        <v>397446</v>
      </c>
      <c r="L8" s="320">
        <f>SUM(L9:L10)</f>
        <v>848840</v>
      </c>
      <c r="M8" s="154">
        <f>SUM(M9:M10)</f>
        <v>0</v>
      </c>
      <c r="N8" s="480">
        <f>SUM(N9:N10)</f>
        <v>848840</v>
      </c>
      <c r="O8" s="532">
        <f t="shared" ref="O8:O29" si="1">IF(J8=0,"",N8/J8*100)</f>
        <v>103.23883192858273</v>
      </c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677310</v>
      </c>
      <c r="J9" s="155">
        <v>677310</v>
      </c>
      <c r="K9" s="155">
        <v>329446</v>
      </c>
      <c r="L9" s="251">
        <f>679840+800+2500</f>
        <v>683140</v>
      </c>
      <c r="M9" s="155">
        <v>0</v>
      </c>
      <c r="N9" s="481">
        <f>SUM(L9:M9)</f>
        <v>683140</v>
      </c>
      <c r="O9" s="533">
        <f t="shared" si="1"/>
        <v>100.8607579985531</v>
      </c>
      <c r="Q9" s="45"/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144900</v>
      </c>
      <c r="J10" s="155">
        <v>144900</v>
      </c>
      <c r="K10" s="155">
        <v>68000</v>
      </c>
      <c r="L10" s="251">
        <f>152100+1400+1000+28*400</f>
        <v>165700</v>
      </c>
      <c r="M10" s="155">
        <v>0</v>
      </c>
      <c r="N10" s="481">
        <f t="shared" ref="N10" si="2">SUM(L10:M10)</f>
        <v>165700</v>
      </c>
      <c r="O10" s="533">
        <f t="shared" si="1"/>
        <v>114.35472739820567</v>
      </c>
      <c r="Q10" s="45"/>
    </row>
    <row r="11" spans="2:17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  <c r="Q11" s="45"/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76520</v>
      </c>
      <c r="J12" s="154">
        <f t="shared" si="3"/>
        <v>76520</v>
      </c>
      <c r="K12" s="154">
        <f t="shared" si="3"/>
        <v>35522</v>
      </c>
      <c r="L12" s="320">
        <f t="shared" ref="L12:N12" si="4">L13</f>
        <v>76730</v>
      </c>
      <c r="M12" s="154">
        <f t="shared" si="4"/>
        <v>0</v>
      </c>
      <c r="N12" s="480">
        <f t="shared" si="4"/>
        <v>76730</v>
      </c>
      <c r="O12" s="532">
        <f t="shared" si="1"/>
        <v>100.27443805541034</v>
      </c>
      <c r="Q12" s="45"/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76520</v>
      </c>
      <c r="J13" s="155">
        <v>76520</v>
      </c>
      <c r="K13" s="155">
        <v>35522</v>
      </c>
      <c r="L13" s="251">
        <f>75990+220+520</f>
        <v>76730</v>
      </c>
      <c r="M13" s="155">
        <v>0</v>
      </c>
      <c r="N13" s="481">
        <f>SUM(L13:M13)</f>
        <v>76730</v>
      </c>
      <c r="O13" s="533">
        <f t="shared" si="1"/>
        <v>100.27443805541034</v>
      </c>
      <c r="Q13" s="45"/>
    </row>
    <row r="14" spans="2:17" ht="12.95" customHeight="1" x14ac:dyDescent="0.25">
      <c r="B14" s="10"/>
      <c r="C14" s="11"/>
      <c r="D14" s="11"/>
      <c r="E14" s="11"/>
      <c r="F14" s="119"/>
      <c r="G14" s="134"/>
      <c r="H14" s="22"/>
      <c r="I14" s="154"/>
      <c r="J14" s="154"/>
      <c r="K14" s="154"/>
      <c r="L14" s="320"/>
      <c r="M14" s="154"/>
      <c r="N14" s="455"/>
      <c r="O14" s="533" t="str">
        <f t="shared" si="1"/>
        <v/>
      </c>
    </row>
    <row r="15" spans="2:17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76920</v>
      </c>
      <c r="J15" s="156">
        <f t="shared" si="5"/>
        <v>76920</v>
      </c>
      <c r="K15" s="156">
        <f t="shared" si="5"/>
        <v>29864</v>
      </c>
      <c r="L15" s="321">
        <f>SUM(L16:L24)</f>
        <v>74600</v>
      </c>
      <c r="M15" s="156">
        <f>SUM(M16:M24)</f>
        <v>0</v>
      </c>
      <c r="N15" s="455">
        <f>SUM(N16:N24)</f>
        <v>74600</v>
      </c>
      <c r="O15" s="532">
        <f t="shared" si="1"/>
        <v>96.98387935517421</v>
      </c>
    </row>
    <row r="16" spans="2:17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3000</v>
      </c>
      <c r="J16" s="155">
        <v>3000</v>
      </c>
      <c r="K16" s="155">
        <v>1849</v>
      </c>
      <c r="L16" s="251">
        <v>3500</v>
      </c>
      <c r="M16" s="155">
        <v>0</v>
      </c>
      <c r="N16" s="481">
        <f t="shared" ref="N16:N24" si="6">SUM(L16:M16)</f>
        <v>3500</v>
      </c>
      <c r="O16" s="533">
        <f t="shared" si="1"/>
        <v>116.66666666666667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35000</v>
      </c>
      <c r="J17" s="155">
        <v>35000</v>
      </c>
      <c r="K17" s="155">
        <v>11558</v>
      </c>
      <c r="L17" s="251">
        <v>32000</v>
      </c>
      <c r="M17" s="155">
        <v>0</v>
      </c>
      <c r="N17" s="481">
        <f t="shared" si="6"/>
        <v>32000</v>
      </c>
      <c r="O17" s="533">
        <f t="shared" si="1"/>
        <v>91.428571428571431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2200</v>
      </c>
      <c r="J18" s="155">
        <v>2200</v>
      </c>
      <c r="K18" s="155">
        <v>1004</v>
      </c>
      <c r="L18" s="251">
        <v>2200</v>
      </c>
      <c r="M18" s="155">
        <v>0</v>
      </c>
      <c r="N18" s="481">
        <f t="shared" si="6"/>
        <v>2200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11000</v>
      </c>
      <c r="J19" s="155">
        <v>11000</v>
      </c>
      <c r="K19" s="155">
        <v>3162</v>
      </c>
      <c r="L19" s="251">
        <v>12000</v>
      </c>
      <c r="M19" s="155">
        <v>0</v>
      </c>
      <c r="N19" s="481">
        <f t="shared" si="6"/>
        <v>12000</v>
      </c>
      <c r="O19" s="533">
        <f t="shared" si="1"/>
        <v>109.09090909090908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1000</v>
      </c>
      <c r="J20" s="155">
        <v>1000</v>
      </c>
      <c r="K20" s="155">
        <v>446</v>
      </c>
      <c r="L20" s="251">
        <v>1000</v>
      </c>
      <c r="M20" s="155">
        <v>0</v>
      </c>
      <c r="N20" s="481">
        <f t="shared" si="6"/>
        <v>1000</v>
      </c>
      <c r="O20" s="533">
        <f t="shared" si="1"/>
        <v>100</v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13000</v>
      </c>
      <c r="J22" s="155">
        <v>13000</v>
      </c>
      <c r="K22" s="155">
        <v>7163</v>
      </c>
      <c r="L22" s="251">
        <v>14000</v>
      </c>
      <c r="M22" s="155">
        <v>0</v>
      </c>
      <c r="N22" s="481">
        <f t="shared" si="6"/>
        <v>14000</v>
      </c>
      <c r="O22" s="533">
        <f t="shared" si="1"/>
        <v>107.69230769230769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720</v>
      </c>
      <c r="J23" s="155">
        <v>720</v>
      </c>
      <c r="K23" s="155">
        <v>380</v>
      </c>
      <c r="L23" s="251">
        <v>900</v>
      </c>
      <c r="M23" s="155">
        <v>0</v>
      </c>
      <c r="N23" s="481">
        <f t="shared" si="6"/>
        <v>900</v>
      </c>
      <c r="O23" s="533">
        <f t="shared" si="1"/>
        <v>125</v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11000</v>
      </c>
      <c r="J24" s="155">
        <v>11000</v>
      </c>
      <c r="K24" s="155">
        <v>4302</v>
      </c>
      <c r="L24" s="251">
        <v>9000</v>
      </c>
      <c r="M24" s="155">
        <v>0</v>
      </c>
      <c r="N24" s="481">
        <f t="shared" si="6"/>
        <v>9000</v>
      </c>
      <c r="O24" s="533">
        <f t="shared" si="1"/>
        <v>81.818181818181827</v>
      </c>
    </row>
    <row r="25" spans="2:15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SUM(I27:I29)</f>
        <v>20000</v>
      </c>
      <c r="J26" s="154">
        <f t="shared" si="7"/>
        <v>20000</v>
      </c>
      <c r="K26" s="154">
        <f t="shared" si="7"/>
        <v>9998</v>
      </c>
      <c r="L26" s="320">
        <f t="shared" ref="L26:N26" si="8">SUM(L27:L29)</f>
        <v>15050</v>
      </c>
      <c r="M26" s="154">
        <f t="shared" si="8"/>
        <v>4950</v>
      </c>
      <c r="N26" s="455">
        <f t="shared" si="8"/>
        <v>20000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10000</v>
      </c>
      <c r="J27" s="155">
        <v>10000</v>
      </c>
      <c r="K27" s="155">
        <v>0</v>
      </c>
      <c r="L27" s="251">
        <f>10000-4950</f>
        <v>5050</v>
      </c>
      <c r="M27" s="155">
        <f>4950</f>
        <v>4950</v>
      </c>
      <c r="N27" s="481">
        <f t="shared" ref="N27:N28" si="9">SUM(L27:M27)</f>
        <v>10000</v>
      </c>
      <c r="O27" s="533">
        <f t="shared" si="1"/>
        <v>100</v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10000</v>
      </c>
      <c r="J28" s="155">
        <v>10000</v>
      </c>
      <c r="K28" s="155">
        <v>9998</v>
      </c>
      <c r="L28" s="251">
        <v>10000</v>
      </c>
      <c r="M28" s="155">
        <v>0</v>
      </c>
      <c r="N28" s="481">
        <f t="shared" si="9"/>
        <v>10000</v>
      </c>
      <c r="O28" s="533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653</v>
      </c>
      <c r="J30" s="266" t="s">
        <v>653</v>
      </c>
      <c r="K30" s="266" t="s">
        <v>653</v>
      </c>
      <c r="L30" s="322" t="s">
        <v>652</v>
      </c>
      <c r="M30" s="266"/>
      <c r="N30" s="450" t="s">
        <v>652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995650</v>
      </c>
      <c r="J31" s="14">
        <f t="shared" si="10"/>
        <v>995650</v>
      </c>
      <c r="K31" s="14">
        <f t="shared" si="10"/>
        <v>472830</v>
      </c>
      <c r="L31" s="259">
        <f t="shared" si="10"/>
        <v>1015220</v>
      </c>
      <c r="M31" s="14">
        <f t="shared" si="10"/>
        <v>4950</v>
      </c>
      <c r="N31" s="455">
        <f t="shared" si="10"/>
        <v>1020170</v>
      </c>
      <c r="O31" s="532">
        <f>IF(J31=0,"",N31/J31*100)</f>
        <v>102.46271280068298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>
        <f>I31+'29'!I31+'28'!I31+'27'!I31+'26'!I31+'25'!I31+'24'!I31</f>
        <v>11289170</v>
      </c>
      <c r="J32" s="14">
        <f>J31+'29'!J31+'28'!J31+'27'!J31+'26'!J31+'25'!J31+'24'!J31</f>
        <v>11360136</v>
      </c>
      <c r="K32" s="14">
        <f>K31+'29'!K31+'28'!K31+'27'!K31+'26'!K31+'25'!K31+'24'!K31</f>
        <v>5555438</v>
      </c>
      <c r="L32" s="259">
        <f>L31+'29'!L31+'28'!L31+'27'!L31+'26'!L31+'25'!L31+'24'!L31</f>
        <v>11672179</v>
      </c>
      <c r="M32" s="14">
        <f>M31+'29'!M31+'28'!M31+'27'!M31+'26'!M31+'25'!M31+'24'!M31</f>
        <v>98991</v>
      </c>
      <c r="N32" s="455">
        <f>N31+'29'!N31+'28'!N31+'27'!N31+'26'!N31+'25'!N31+'24'!N31</f>
        <v>11771170</v>
      </c>
      <c r="O32" s="532">
        <f>IF(J32=0,"",N32/J32*100)</f>
        <v>103.61821372561033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>
        <f>I32+'23'!I32+'20'!I46</f>
        <v>20436680</v>
      </c>
      <c r="J33" s="14">
        <f>J32+'23'!J32+'20'!J46</f>
        <v>21426360</v>
      </c>
      <c r="K33" s="14">
        <f>K32+'23'!K32+'20'!K46</f>
        <v>9340162</v>
      </c>
      <c r="L33" s="259">
        <f>L32+'23'!L32+'20'!L46</f>
        <v>20924477</v>
      </c>
      <c r="M33" s="14">
        <f>M32+'23'!M32+'20'!M46</f>
        <v>1138173</v>
      </c>
      <c r="N33" s="455">
        <f>N32+'23'!N32+'20'!N46</f>
        <v>22062650</v>
      </c>
      <c r="O33" s="532">
        <f>IF(J33=0,"",N33/J33*100)</f>
        <v>102.96965980222492</v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3"/>
    </row>
    <row r="36" spans="2:15" ht="12.95" customHeight="1" x14ac:dyDescent="0.2">
      <c r="F36" s="121"/>
      <c r="G36" s="136"/>
      <c r="L36" s="312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6"/>
  <dimension ref="B1:Q94"/>
  <sheetViews>
    <sheetView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711</v>
      </c>
      <c r="C2" s="639"/>
      <c r="D2" s="639"/>
      <c r="E2" s="639"/>
      <c r="F2" s="639"/>
      <c r="G2" s="639"/>
      <c r="H2" s="639"/>
      <c r="I2" s="639"/>
      <c r="J2" s="666"/>
      <c r="K2" s="666"/>
      <c r="L2" s="666"/>
      <c r="M2" s="666"/>
      <c r="N2" s="666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712</v>
      </c>
      <c r="C7" s="7" t="s">
        <v>554</v>
      </c>
      <c r="D7" s="7" t="s">
        <v>555</v>
      </c>
      <c r="E7" s="285" t="s">
        <v>633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455970</v>
      </c>
      <c r="J8" s="154">
        <f t="shared" si="0"/>
        <v>455970</v>
      </c>
      <c r="K8" s="154">
        <f t="shared" si="0"/>
        <v>233105</v>
      </c>
      <c r="L8" s="320">
        <f>SUM(L9:L10)</f>
        <v>493370</v>
      </c>
      <c r="M8" s="154">
        <f>SUM(M9:M10)</f>
        <v>0</v>
      </c>
      <c r="N8" s="480">
        <f>SUM(N9:N10)</f>
        <v>493370</v>
      </c>
      <c r="O8" s="532">
        <f t="shared" ref="O8:O32" si="1">IF(J8=0,"",N8/J8*100)</f>
        <v>108.20229401057087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379640</v>
      </c>
      <c r="J9" s="155">
        <v>379640</v>
      </c>
      <c r="K9" s="155">
        <v>190208</v>
      </c>
      <c r="L9" s="251">
        <f>390820+700</f>
        <v>391520</v>
      </c>
      <c r="M9" s="155">
        <v>0</v>
      </c>
      <c r="N9" s="481">
        <f>SUM(L9:M9)</f>
        <v>391520</v>
      </c>
      <c r="O9" s="533">
        <f t="shared" si="1"/>
        <v>103.12928037087768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76330</v>
      </c>
      <c r="J10" s="155">
        <v>76330</v>
      </c>
      <c r="K10" s="155">
        <v>42897</v>
      </c>
      <c r="L10" s="251">
        <f>92950+500+14*400+2800</f>
        <v>101850</v>
      </c>
      <c r="M10" s="155">
        <v>0</v>
      </c>
      <c r="N10" s="481">
        <f t="shared" ref="N10" si="2">SUM(L10:M10)</f>
        <v>101850</v>
      </c>
      <c r="O10" s="533">
        <f t="shared" si="1"/>
        <v>133.43377440062883</v>
      </c>
    </row>
    <row r="11" spans="2:15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39870</v>
      </c>
      <c r="J12" s="154">
        <f t="shared" si="3"/>
        <v>39870</v>
      </c>
      <c r="K12" s="154">
        <f t="shared" si="3"/>
        <v>19972</v>
      </c>
      <c r="L12" s="320">
        <f t="shared" ref="L12:N12" si="4">L13</f>
        <v>41190</v>
      </c>
      <c r="M12" s="154">
        <f t="shared" si="4"/>
        <v>0</v>
      </c>
      <c r="N12" s="480">
        <f t="shared" si="4"/>
        <v>41190</v>
      </c>
      <c r="O12" s="532">
        <f t="shared" si="1"/>
        <v>103.31075996990218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39870</v>
      </c>
      <c r="J13" s="155">
        <v>39870</v>
      </c>
      <c r="K13" s="155">
        <v>19972</v>
      </c>
      <c r="L13" s="251">
        <f>41100+90</f>
        <v>41190</v>
      </c>
      <c r="M13" s="155">
        <v>0</v>
      </c>
      <c r="N13" s="481">
        <f>SUM(L13:M13)</f>
        <v>41190</v>
      </c>
      <c r="O13" s="533">
        <f t="shared" si="1"/>
        <v>103.31075996990218</v>
      </c>
    </row>
    <row r="14" spans="2:15" ht="12.95" customHeight="1" x14ac:dyDescent="0.25">
      <c r="B14" s="10"/>
      <c r="C14" s="11"/>
      <c r="D14" s="11"/>
      <c r="E14" s="11"/>
      <c r="F14" s="119"/>
      <c r="G14" s="134"/>
      <c r="H14" s="22"/>
      <c r="I14" s="154"/>
      <c r="J14" s="154"/>
      <c r="K14" s="154"/>
      <c r="L14" s="320"/>
      <c r="M14" s="154"/>
      <c r="N14" s="455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1">
        <f t="shared" ref="I15:K15" si="5">SUM(I16:I24)</f>
        <v>40000</v>
      </c>
      <c r="J15" s="151">
        <f t="shared" si="5"/>
        <v>40000</v>
      </c>
      <c r="K15" s="151">
        <f t="shared" si="5"/>
        <v>20298</v>
      </c>
      <c r="L15" s="253">
        <f>SUM(L16:L24)</f>
        <v>38000</v>
      </c>
      <c r="M15" s="154">
        <f>SUM(M16:M24)</f>
        <v>0</v>
      </c>
      <c r="N15" s="455">
        <f>SUM(N16:N24)</f>
        <v>38000</v>
      </c>
      <c r="O15" s="532">
        <f t="shared" si="1"/>
        <v>95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3000</v>
      </c>
      <c r="J16" s="155">
        <v>3000</v>
      </c>
      <c r="K16" s="155">
        <v>154</v>
      </c>
      <c r="L16" s="251">
        <v>1500</v>
      </c>
      <c r="M16" s="155">
        <v>0</v>
      </c>
      <c r="N16" s="481">
        <f t="shared" ref="N16:N24" si="6">SUM(L16:M16)</f>
        <v>1500</v>
      </c>
      <c r="O16" s="533">
        <f t="shared" si="1"/>
        <v>50</v>
      </c>
    </row>
    <row r="17" spans="2:17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0</v>
      </c>
      <c r="J17" s="155">
        <v>0</v>
      </c>
      <c r="K17" s="155">
        <v>0</v>
      </c>
      <c r="L17" s="251">
        <v>0</v>
      </c>
      <c r="M17" s="155">
        <v>0</v>
      </c>
      <c r="N17" s="481">
        <f t="shared" si="6"/>
        <v>0</v>
      </c>
      <c r="O17" s="533" t="str">
        <f t="shared" si="1"/>
        <v/>
      </c>
    </row>
    <row r="18" spans="2:17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3000</v>
      </c>
      <c r="J18" s="155">
        <v>3000</v>
      </c>
      <c r="K18" s="155">
        <v>1357</v>
      </c>
      <c r="L18" s="251">
        <v>3000</v>
      </c>
      <c r="M18" s="155">
        <v>0</v>
      </c>
      <c r="N18" s="481">
        <f t="shared" si="6"/>
        <v>3000</v>
      </c>
      <c r="O18" s="533">
        <f t="shared" si="1"/>
        <v>100</v>
      </c>
    </row>
    <row r="19" spans="2:17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1500</v>
      </c>
      <c r="J19" s="155">
        <v>1500</v>
      </c>
      <c r="K19" s="155">
        <v>814</v>
      </c>
      <c r="L19" s="251">
        <v>1700</v>
      </c>
      <c r="M19" s="155">
        <v>0</v>
      </c>
      <c r="N19" s="481">
        <f t="shared" si="6"/>
        <v>1700</v>
      </c>
      <c r="O19" s="533">
        <f t="shared" si="1"/>
        <v>113.33333333333333</v>
      </c>
    </row>
    <row r="20" spans="2:17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0</v>
      </c>
      <c r="J20" s="155">
        <v>0</v>
      </c>
      <c r="K20" s="155">
        <v>0</v>
      </c>
      <c r="L20" s="251">
        <v>0</v>
      </c>
      <c r="M20" s="155">
        <v>0</v>
      </c>
      <c r="N20" s="481">
        <f t="shared" si="6"/>
        <v>0</v>
      </c>
      <c r="O20" s="533" t="str">
        <f t="shared" si="1"/>
        <v/>
      </c>
    </row>
    <row r="21" spans="2:17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7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1500</v>
      </c>
      <c r="J22" s="155">
        <v>1500</v>
      </c>
      <c r="K22" s="155">
        <v>164</v>
      </c>
      <c r="L22" s="251">
        <v>800</v>
      </c>
      <c r="M22" s="155">
        <v>0</v>
      </c>
      <c r="N22" s="481">
        <f t="shared" si="6"/>
        <v>800</v>
      </c>
      <c r="O22" s="533">
        <f t="shared" si="1"/>
        <v>53.333333333333336</v>
      </c>
    </row>
    <row r="23" spans="2:17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0</v>
      </c>
      <c r="J23" s="155">
        <v>0</v>
      </c>
      <c r="K23" s="155">
        <v>0</v>
      </c>
      <c r="L23" s="251">
        <v>0</v>
      </c>
      <c r="M23" s="155">
        <v>0</v>
      </c>
      <c r="N23" s="481">
        <f t="shared" si="6"/>
        <v>0</v>
      </c>
      <c r="O23" s="533" t="str">
        <f t="shared" si="1"/>
        <v/>
      </c>
    </row>
    <row r="24" spans="2:17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31000</v>
      </c>
      <c r="J24" s="155">
        <v>31000</v>
      </c>
      <c r="K24" s="155">
        <v>17809</v>
      </c>
      <c r="L24" s="251">
        <v>31000</v>
      </c>
      <c r="M24" s="155">
        <v>0</v>
      </c>
      <c r="N24" s="481">
        <f t="shared" si="6"/>
        <v>31000</v>
      </c>
      <c r="O24" s="533">
        <f t="shared" si="1"/>
        <v>100</v>
      </c>
      <c r="P24" s="275"/>
    </row>
    <row r="25" spans="2:17" ht="12.95" customHeight="1" x14ac:dyDescent="0.2">
      <c r="B25" s="10"/>
      <c r="C25" s="11"/>
      <c r="D25" s="11"/>
      <c r="E25" s="11"/>
      <c r="F25" s="119"/>
      <c r="G25" s="134"/>
      <c r="H25" s="22"/>
      <c r="I25" s="154"/>
      <c r="J25" s="154"/>
      <c r="K25" s="154"/>
      <c r="L25" s="320"/>
      <c r="M25" s="154"/>
      <c r="N25" s="580"/>
      <c r="O25" s="533" t="str">
        <f t="shared" si="1"/>
        <v/>
      </c>
    </row>
    <row r="26" spans="2:17" s="1" customFormat="1" ht="12.95" customHeight="1" x14ac:dyDescent="0.25">
      <c r="B26" s="12"/>
      <c r="C26" s="8"/>
      <c r="D26" s="8"/>
      <c r="E26" s="8"/>
      <c r="F26" s="118">
        <v>614000</v>
      </c>
      <c r="G26" s="133"/>
      <c r="H26" s="23" t="s">
        <v>434</v>
      </c>
      <c r="I26" s="154">
        <f t="shared" ref="I26:K26" si="7">SUM(I27:I27)</f>
        <v>2000000</v>
      </c>
      <c r="J26" s="154">
        <f t="shared" si="7"/>
        <v>2000000</v>
      </c>
      <c r="K26" s="154">
        <f t="shared" si="7"/>
        <v>985138</v>
      </c>
      <c r="L26" s="326">
        <f t="shared" ref="L26:N26" si="8">SUM(L27:L27)</f>
        <v>2100000</v>
      </c>
      <c r="M26" s="154">
        <f t="shared" si="8"/>
        <v>0</v>
      </c>
      <c r="N26" s="455">
        <f t="shared" si="8"/>
        <v>2100000</v>
      </c>
      <c r="O26" s="532">
        <f t="shared" si="1"/>
        <v>105</v>
      </c>
    </row>
    <row r="27" spans="2:17" ht="12.95" customHeight="1" x14ac:dyDescent="0.2">
      <c r="B27" s="10"/>
      <c r="C27" s="11"/>
      <c r="D27" s="11"/>
      <c r="E27" s="11"/>
      <c r="F27" s="119">
        <v>614200</v>
      </c>
      <c r="G27" s="134" t="s">
        <v>468</v>
      </c>
      <c r="H27" s="343" t="s">
        <v>713</v>
      </c>
      <c r="I27" s="155">
        <v>2000000</v>
      </c>
      <c r="J27" s="155">
        <v>2000000</v>
      </c>
      <c r="K27" s="155">
        <v>985138</v>
      </c>
      <c r="L27" s="251">
        <v>2100000</v>
      </c>
      <c r="M27" s="155">
        <v>0</v>
      </c>
      <c r="N27" s="481">
        <f>SUM(L27:M27)</f>
        <v>2100000</v>
      </c>
      <c r="O27" s="533">
        <f t="shared" si="1"/>
        <v>105</v>
      </c>
    </row>
    <row r="28" spans="2:17" ht="12.95" customHeight="1" x14ac:dyDescent="0.2">
      <c r="B28" s="10"/>
      <c r="C28" s="11"/>
      <c r="D28" s="11"/>
      <c r="E28" s="11"/>
      <c r="F28" s="119"/>
      <c r="G28" s="134"/>
      <c r="H28" s="22"/>
      <c r="I28" s="155"/>
      <c r="J28" s="155"/>
      <c r="K28" s="155"/>
      <c r="L28" s="251"/>
      <c r="M28" s="155"/>
      <c r="N28" s="457"/>
      <c r="O28" s="533" t="str">
        <f t="shared" si="1"/>
        <v/>
      </c>
    </row>
    <row r="29" spans="2:17" s="1" customFormat="1" ht="12.95" customHeight="1" x14ac:dyDescent="0.25">
      <c r="B29" s="12"/>
      <c r="C29" s="8"/>
      <c r="D29" s="8"/>
      <c r="E29" s="8"/>
      <c r="F29" s="118">
        <v>821000</v>
      </c>
      <c r="G29" s="133"/>
      <c r="H29" s="23" t="s">
        <v>526</v>
      </c>
      <c r="I29" s="154">
        <f t="shared" ref="I29:K29" si="9">SUM(I30:I31)</f>
        <v>6000</v>
      </c>
      <c r="J29" s="154">
        <f t="shared" si="9"/>
        <v>6000</v>
      </c>
      <c r="K29" s="154">
        <f t="shared" si="9"/>
        <v>890</v>
      </c>
      <c r="L29" s="320">
        <f t="shared" ref="L29" si="10">SUM(L30:L31)</f>
        <v>6000</v>
      </c>
      <c r="M29" s="154">
        <f>SUM(M30:M31)</f>
        <v>0</v>
      </c>
      <c r="N29" s="455">
        <f>SUM(N30:N31)</f>
        <v>6000</v>
      </c>
      <c r="O29" s="532">
        <f t="shared" si="1"/>
        <v>100</v>
      </c>
    </row>
    <row r="30" spans="2:17" ht="12.95" customHeight="1" x14ac:dyDescent="0.2">
      <c r="B30" s="10"/>
      <c r="C30" s="11"/>
      <c r="D30" s="11"/>
      <c r="E30" s="11"/>
      <c r="F30" s="119">
        <v>821200</v>
      </c>
      <c r="G30" s="134"/>
      <c r="H30" s="22" t="s">
        <v>528</v>
      </c>
      <c r="I30" s="155">
        <v>0</v>
      </c>
      <c r="J30" s="155">
        <v>0</v>
      </c>
      <c r="K30" s="155">
        <v>0</v>
      </c>
      <c r="L30" s="251">
        <v>0</v>
      </c>
      <c r="M30" s="155">
        <v>0</v>
      </c>
      <c r="N30" s="481">
        <f t="shared" ref="N30:N31" si="11">SUM(L30:M30)</f>
        <v>0</v>
      </c>
      <c r="O30" s="533" t="str">
        <f t="shared" si="1"/>
        <v/>
      </c>
    </row>
    <row r="31" spans="2:17" ht="12.95" customHeight="1" x14ac:dyDescent="0.2">
      <c r="B31" s="10"/>
      <c r="C31" s="11"/>
      <c r="D31" s="11"/>
      <c r="E31" s="11"/>
      <c r="F31" s="119">
        <v>821300</v>
      </c>
      <c r="G31" s="134"/>
      <c r="H31" s="22" t="s">
        <v>529</v>
      </c>
      <c r="I31" s="155">
        <v>6000</v>
      </c>
      <c r="J31" s="155">
        <v>6000</v>
      </c>
      <c r="K31" s="155">
        <v>890</v>
      </c>
      <c r="L31" s="251">
        <v>6000</v>
      </c>
      <c r="M31" s="155">
        <v>0</v>
      </c>
      <c r="N31" s="481">
        <f t="shared" si="11"/>
        <v>6000</v>
      </c>
      <c r="O31" s="533">
        <f t="shared" si="1"/>
        <v>100</v>
      </c>
      <c r="Q31" s="275"/>
    </row>
    <row r="32" spans="2:17" ht="12.95" customHeight="1" x14ac:dyDescent="0.2">
      <c r="B32" s="10"/>
      <c r="C32" s="11"/>
      <c r="D32" s="11"/>
      <c r="E32" s="11"/>
      <c r="F32" s="119"/>
      <c r="G32" s="134"/>
      <c r="H32" s="22"/>
      <c r="I32" s="155"/>
      <c r="J32" s="155"/>
      <c r="K32" s="155"/>
      <c r="L32" s="251"/>
      <c r="M32" s="155"/>
      <c r="N32" s="457"/>
      <c r="O32" s="533" t="str">
        <f t="shared" si="1"/>
        <v/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23" t="s">
        <v>540</v>
      </c>
      <c r="I33" s="266" t="s">
        <v>680</v>
      </c>
      <c r="J33" s="266" t="s">
        <v>680</v>
      </c>
      <c r="K33" s="266" t="s">
        <v>680</v>
      </c>
      <c r="L33" s="322" t="s">
        <v>680</v>
      </c>
      <c r="M33" s="154"/>
      <c r="N33" s="450" t="s">
        <v>680</v>
      </c>
      <c r="O33" s="533"/>
    </row>
    <row r="34" spans="2:15" s="1" customFormat="1" ht="12.95" customHeight="1" x14ac:dyDescent="0.25">
      <c r="B34" s="12"/>
      <c r="C34" s="8"/>
      <c r="D34" s="8"/>
      <c r="E34" s="8"/>
      <c r="F34" s="118"/>
      <c r="G34" s="133"/>
      <c r="H34" s="8" t="s">
        <v>557</v>
      </c>
      <c r="I34" s="14">
        <f t="shared" ref="I34:N34" si="12">I8+I12+I15+I26+I29</f>
        <v>2541840</v>
      </c>
      <c r="J34" s="14">
        <f t="shared" si="12"/>
        <v>2541840</v>
      </c>
      <c r="K34" s="14">
        <f t="shared" si="12"/>
        <v>1259403</v>
      </c>
      <c r="L34" s="259">
        <f t="shared" si="12"/>
        <v>2678560</v>
      </c>
      <c r="M34" s="14">
        <f t="shared" si="12"/>
        <v>0</v>
      </c>
      <c r="N34" s="455">
        <f t="shared" si="12"/>
        <v>2678560</v>
      </c>
      <c r="O34" s="532">
        <f>IF(J34=0,"",N34/J34*100)</f>
        <v>105.37878072577345</v>
      </c>
    </row>
    <row r="35" spans="2:15" s="1" customFormat="1" ht="12.95" customHeight="1" x14ac:dyDescent="0.25">
      <c r="B35" s="12"/>
      <c r="C35" s="8"/>
      <c r="D35" s="8"/>
      <c r="E35" s="8"/>
      <c r="F35" s="118"/>
      <c r="G35" s="133"/>
      <c r="H35" s="8" t="s">
        <v>558</v>
      </c>
      <c r="I35" s="14">
        <f t="shared" ref="I35:J36" si="13">I34</f>
        <v>2541840</v>
      </c>
      <c r="J35" s="14">
        <f t="shared" si="13"/>
        <v>2541840</v>
      </c>
      <c r="K35" s="14">
        <f t="shared" ref="K35" si="14">K34</f>
        <v>1259403</v>
      </c>
      <c r="L35" s="259">
        <f t="shared" ref="L35:N36" si="15">L34</f>
        <v>2678560</v>
      </c>
      <c r="M35" s="14">
        <f t="shared" si="15"/>
        <v>0</v>
      </c>
      <c r="N35" s="455">
        <f t="shared" si="15"/>
        <v>2678560</v>
      </c>
      <c r="O35" s="532">
        <f>IF(J35=0,"",N35/J35*100)</f>
        <v>105.37878072577345</v>
      </c>
    </row>
    <row r="36" spans="2:15" s="1" customFormat="1" ht="12.95" customHeight="1" x14ac:dyDescent="0.25">
      <c r="B36" s="12"/>
      <c r="C36" s="8"/>
      <c r="D36" s="8"/>
      <c r="E36" s="8"/>
      <c r="F36" s="118"/>
      <c r="G36" s="133"/>
      <c r="H36" s="8" t="s">
        <v>559</v>
      </c>
      <c r="I36" s="14">
        <f t="shared" si="13"/>
        <v>2541840</v>
      </c>
      <c r="J36" s="14">
        <f t="shared" si="13"/>
        <v>2541840</v>
      </c>
      <c r="K36" s="14">
        <f t="shared" ref="K36" si="16">K35</f>
        <v>1259403</v>
      </c>
      <c r="L36" s="259">
        <f t="shared" si="15"/>
        <v>2678560</v>
      </c>
      <c r="M36" s="14">
        <f t="shared" si="15"/>
        <v>0</v>
      </c>
      <c r="N36" s="455">
        <f t="shared" si="15"/>
        <v>2678560</v>
      </c>
      <c r="O36" s="532">
        <f>IF(J36=0,"",N36/J36*100)</f>
        <v>105.37878072577345</v>
      </c>
    </row>
    <row r="37" spans="2:15" ht="12.95" customHeight="1" thickBot="1" x14ac:dyDescent="0.25">
      <c r="B37" s="15"/>
      <c r="C37" s="16"/>
      <c r="D37" s="16"/>
      <c r="E37" s="16"/>
      <c r="F37" s="120"/>
      <c r="G37" s="135"/>
      <c r="H37" s="16"/>
      <c r="I37" s="29"/>
      <c r="J37" s="29"/>
      <c r="K37" s="29"/>
      <c r="L37" s="260"/>
      <c r="M37" s="29"/>
      <c r="N37" s="482"/>
      <c r="O37" s="534"/>
    </row>
    <row r="38" spans="2:15" ht="12.95" customHeight="1" x14ac:dyDescent="0.2">
      <c r="F38" s="121"/>
      <c r="G38" s="136"/>
      <c r="L38" s="504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7"/>
  <dimension ref="B1:O94"/>
  <sheetViews>
    <sheetView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714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715</v>
      </c>
      <c r="C7" s="7" t="s">
        <v>554</v>
      </c>
      <c r="D7" s="7" t="s">
        <v>555</v>
      </c>
      <c r="E7" s="285" t="s">
        <v>614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150400</v>
      </c>
      <c r="J8" s="154">
        <f t="shared" si="0"/>
        <v>153200</v>
      </c>
      <c r="K8" s="154">
        <f t="shared" si="0"/>
        <v>76643</v>
      </c>
      <c r="L8" s="320">
        <f>SUM(L9:L10)</f>
        <v>167280</v>
      </c>
      <c r="M8" s="154">
        <f>SUM(M9:M10)</f>
        <v>0</v>
      </c>
      <c r="N8" s="480">
        <f>SUM(N9:N10)</f>
        <v>167280</v>
      </c>
      <c r="O8" s="532">
        <f t="shared" ref="O8:O29" si="1">IF(J8=0,"",N8/J8*100)</f>
        <v>109.19060052219321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133940</v>
      </c>
      <c r="J9" s="152">
        <v>133940</v>
      </c>
      <c r="K9" s="152">
        <v>67250</v>
      </c>
      <c r="L9" s="250">
        <f>138170+100</f>
        <v>138270</v>
      </c>
      <c r="M9" s="152">
        <v>0</v>
      </c>
      <c r="N9" s="481">
        <f>SUM(L9:M9)</f>
        <v>138270</v>
      </c>
      <c r="O9" s="533">
        <f t="shared" si="1"/>
        <v>103.23279080185156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16460</v>
      </c>
      <c r="J10" s="152">
        <v>19260</v>
      </c>
      <c r="K10" s="152">
        <v>9393</v>
      </c>
      <c r="L10" s="250">
        <f>21750+5560+100+4*400</f>
        <v>29010</v>
      </c>
      <c r="M10" s="152">
        <v>0</v>
      </c>
      <c r="N10" s="481">
        <f t="shared" ref="N10" si="2">SUM(L10:M10)</f>
        <v>29010</v>
      </c>
      <c r="O10" s="533">
        <f t="shared" si="1"/>
        <v>150.62305295950156</v>
      </c>
    </row>
    <row r="11" spans="2:15" ht="12.95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5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14070</v>
      </c>
      <c r="J12" s="154">
        <f t="shared" si="3"/>
        <v>14070</v>
      </c>
      <c r="K12" s="154">
        <f t="shared" si="3"/>
        <v>7061</v>
      </c>
      <c r="L12" s="320">
        <f t="shared" ref="L12:N12" si="4">L13</f>
        <v>14580</v>
      </c>
      <c r="M12" s="154">
        <f t="shared" si="4"/>
        <v>0</v>
      </c>
      <c r="N12" s="480">
        <f t="shared" si="4"/>
        <v>14580</v>
      </c>
      <c r="O12" s="532">
        <f t="shared" si="1"/>
        <v>103.62473347547973</v>
      </c>
    </row>
    <row r="13" spans="2:15" s="1" customFormat="1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14070</v>
      </c>
      <c r="J13" s="152">
        <v>14070</v>
      </c>
      <c r="K13" s="152">
        <v>7061</v>
      </c>
      <c r="L13" s="250">
        <f>14560+20</f>
        <v>14580</v>
      </c>
      <c r="M13" s="152">
        <v>0</v>
      </c>
      <c r="N13" s="481">
        <f>SUM(L13:M13)</f>
        <v>14580</v>
      </c>
      <c r="O13" s="533">
        <f t="shared" si="1"/>
        <v>103.62473347547973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57"/>
      <c r="O14" s="533" t="str">
        <f t="shared" si="1"/>
        <v/>
      </c>
    </row>
    <row r="15" spans="2:15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33000</v>
      </c>
      <c r="J15" s="156">
        <f t="shared" si="5"/>
        <v>30200</v>
      </c>
      <c r="K15" s="156">
        <f t="shared" si="5"/>
        <v>11544</v>
      </c>
      <c r="L15" s="321">
        <f>SUM(L16:L24)</f>
        <v>30200</v>
      </c>
      <c r="M15" s="156">
        <f>SUM(M16:M24)</f>
        <v>0</v>
      </c>
      <c r="N15" s="455">
        <f>SUM(N16:N24)</f>
        <v>30200</v>
      </c>
      <c r="O15" s="532">
        <f t="shared" si="1"/>
        <v>100</v>
      </c>
    </row>
    <row r="16" spans="2:15" s="1" customFormat="1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600</v>
      </c>
      <c r="J16" s="152">
        <v>600</v>
      </c>
      <c r="K16" s="152">
        <v>0</v>
      </c>
      <c r="L16" s="250">
        <v>600</v>
      </c>
      <c r="M16" s="152">
        <v>0</v>
      </c>
      <c r="N16" s="481">
        <f t="shared" ref="N16:N24" si="6">SUM(L16:M16)</f>
        <v>600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9000</v>
      </c>
      <c r="J17" s="152">
        <v>8000</v>
      </c>
      <c r="K17" s="152">
        <v>510</v>
      </c>
      <c r="L17" s="250">
        <v>8000</v>
      </c>
      <c r="M17" s="152">
        <v>0</v>
      </c>
      <c r="N17" s="481">
        <f t="shared" si="6"/>
        <v>8000</v>
      </c>
      <c r="O17" s="533">
        <f t="shared" si="1"/>
        <v>100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3300</v>
      </c>
      <c r="J18" s="152">
        <v>2500</v>
      </c>
      <c r="K18" s="152">
        <v>1348</v>
      </c>
      <c r="L18" s="250">
        <v>2500</v>
      </c>
      <c r="M18" s="152">
        <v>0</v>
      </c>
      <c r="N18" s="481">
        <f t="shared" si="6"/>
        <v>2500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1500</v>
      </c>
      <c r="J19" s="152">
        <v>1500</v>
      </c>
      <c r="K19" s="152">
        <v>0</v>
      </c>
      <c r="L19" s="250">
        <v>1500</v>
      </c>
      <c r="M19" s="152">
        <v>0</v>
      </c>
      <c r="N19" s="481">
        <f t="shared" si="6"/>
        <v>1500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0</v>
      </c>
      <c r="J20" s="152">
        <v>0</v>
      </c>
      <c r="K20" s="152">
        <v>0</v>
      </c>
      <c r="L20" s="250">
        <v>0</v>
      </c>
      <c r="M20" s="152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1100</v>
      </c>
      <c r="J22" s="152">
        <v>1100</v>
      </c>
      <c r="K22" s="152">
        <v>1014</v>
      </c>
      <c r="L22" s="250">
        <v>1100</v>
      </c>
      <c r="M22" s="152">
        <v>0</v>
      </c>
      <c r="N22" s="481">
        <f t="shared" si="6"/>
        <v>1100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17500</v>
      </c>
      <c r="J24" s="152">
        <v>16500</v>
      </c>
      <c r="K24" s="152">
        <v>8672</v>
      </c>
      <c r="L24" s="250">
        <v>16500</v>
      </c>
      <c r="M24" s="152">
        <v>0</v>
      </c>
      <c r="N24" s="481">
        <f t="shared" si="6"/>
        <v>16500</v>
      </c>
      <c r="O24" s="533">
        <f t="shared" si="1"/>
        <v>100</v>
      </c>
    </row>
    <row r="25" spans="2:15" ht="12.95" customHeight="1" x14ac:dyDescent="0.2">
      <c r="B25" s="12"/>
      <c r="C25" s="8"/>
      <c r="D25" s="8"/>
      <c r="E25" s="8"/>
      <c r="F25" s="118"/>
      <c r="G25" s="133"/>
      <c r="H25" s="23"/>
      <c r="I25" s="154"/>
      <c r="J25" s="154"/>
      <c r="K25" s="154"/>
      <c r="L25" s="320"/>
      <c r="M25" s="154"/>
      <c r="N25" s="580"/>
      <c r="O25" s="533" t="str">
        <f t="shared" si="1"/>
        <v/>
      </c>
    </row>
    <row r="26" spans="2:15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0</v>
      </c>
      <c r="J26" s="154">
        <f t="shared" si="7"/>
        <v>0</v>
      </c>
      <c r="K26" s="154">
        <f t="shared" si="7"/>
        <v>0</v>
      </c>
      <c r="L26" s="320">
        <f t="shared" ref="L26:N26" si="8">SUM(L27:L28)</f>
        <v>0</v>
      </c>
      <c r="M26" s="154">
        <f t="shared" si="8"/>
        <v>0</v>
      </c>
      <c r="N26" s="455">
        <f t="shared" si="8"/>
        <v>0</v>
      </c>
      <c r="O26" s="532" t="str">
        <f t="shared" si="1"/>
        <v/>
      </c>
    </row>
    <row r="27" spans="2:15" s="1" customFormat="1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2">
        <v>0</v>
      </c>
      <c r="J27" s="152">
        <v>0</v>
      </c>
      <c r="K27" s="152">
        <v>0</v>
      </c>
      <c r="L27" s="250">
        <v>0</v>
      </c>
      <c r="M27" s="152">
        <v>0</v>
      </c>
      <c r="N27" s="481">
        <f t="shared" ref="N27:N28" si="9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2">
        <v>0</v>
      </c>
      <c r="J28" s="152">
        <v>0</v>
      </c>
      <c r="K28" s="152">
        <v>0</v>
      </c>
      <c r="L28" s="250">
        <v>0</v>
      </c>
      <c r="M28" s="152">
        <v>0</v>
      </c>
      <c r="N28" s="481">
        <f t="shared" si="9"/>
        <v>0</v>
      </c>
      <c r="O28" s="533" t="str">
        <f t="shared" si="1"/>
        <v/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2"/>
      <c r="J29" s="152"/>
      <c r="K29" s="152"/>
      <c r="L29" s="250"/>
      <c r="M29" s="152"/>
      <c r="N29" s="457"/>
      <c r="O29" s="533" t="str">
        <f t="shared" si="1"/>
        <v/>
      </c>
    </row>
    <row r="30" spans="2:15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154">
        <v>3</v>
      </c>
      <c r="J30" s="154">
        <v>3</v>
      </c>
      <c r="K30" s="154">
        <v>4</v>
      </c>
      <c r="L30" s="320">
        <v>4</v>
      </c>
      <c r="M30" s="154"/>
      <c r="N30" s="455">
        <v>4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197470</v>
      </c>
      <c r="J31" s="14">
        <f t="shared" si="10"/>
        <v>197470</v>
      </c>
      <c r="K31" s="14">
        <f t="shared" si="10"/>
        <v>95248</v>
      </c>
      <c r="L31" s="259">
        <f t="shared" si="10"/>
        <v>212060</v>
      </c>
      <c r="M31" s="14">
        <f t="shared" si="10"/>
        <v>0</v>
      </c>
      <c r="N31" s="455">
        <f t="shared" si="10"/>
        <v>212060</v>
      </c>
      <c r="O31" s="532">
        <f>IF(J31=0,"",N31/J31*100)</f>
        <v>107.38846407049172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14">
        <f t="shared" ref="I32:J32" si="11">I31</f>
        <v>197470</v>
      </c>
      <c r="J32" s="14">
        <f t="shared" si="11"/>
        <v>197470</v>
      </c>
      <c r="K32" s="14">
        <f t="shared" ref="K32" si="12">K31</f>
        <v>95248</v>
      </c>
      <c r="L32" s="259">
        <f t="shared" ref="L32:N33" si="13">L31</f>
        <v>212060</v>
      </c>
      <c r="M32" s="14">
        <f t="shared" si="13"/>
        <v>0</v>
      </c>
      <c r="N32" s="455">
        <f t="shared" si="13"/>
        <v>212060</v>
      </c>
      <c r="O32" s="532">
        <f>IF(J32=0,"",N32/J32*100)</f>
        <v>107.38846407049172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>
        <f t="shared" ref="I33:J33" si="14">I32</f>
        <v>197470</v>
      </c>
      <c r="J33" s="14">
        <f t="shared" si="14"/>
        <v>197470</v>
      </c>
      <c r="K33" s="14">
        <f t="shared" ref="K33" si="15">K32</f>
        <v>95248</v>
      </c>
      <c r="L33" s="259">
        <f t="shared" si="13"/>
        <v>212060</v>
      </c>
      <c r="M33" s="14">
        <f t="shared" si="13"/>
        <v>0</v>
      </c>
      <c r="N33" s="455">
        <f t="shared" si="13"/>
        <v>212060</v>
      </c>
      <c r="O33" s="532">
        <f>IF(J33=0,"",N33/J33*100)</f>
        <v>107.38846407049172</v>
      </c>
    </row>
    <row r="34" spans="2:15" s="1" customFormat="1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L35" s="500"/>
      <c r="N35" s="162"/>
    </row>
    <row r="36" spans="2:15" ht="12.95" customHeight="1" x14ac:dyDescent="0.2">
      <c r="F36" s="121"/>
      <c r="G36" s="136"/>
      <c r="N36" s="162"/>
    </row>
    <row r="37" spans="2:15" ht="12.95" customHeight="1" x14ac:dyDescent="0.2">
      <c r="F37" s="121"/>
      <c r="G37" s="136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7.100000000000001" customHeight="1" x14ac:dyDescent="0.2">
      <c r="F58" s="121"/>
      <c r="G58" s="136"/>
      <c r="N58" s="162"/>
    </row>
    <row r="59" spans="6:14" ht="14.25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8"/>
  <dimension ref="B1:Q95"/>
  <sheetViews>
    <sheetView topLeftCell="G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716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717</v>
      </c>
      <c r="C7" s="7" t="s">
        <v>554</v>
      </c>
      <c r="D7" s="7" t="s">
        <v>555</v>
      </c>
      <c r="E7" s="285" t="s">
        <v>718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SUM(I9:I11)</f>
        <v>1108590</v>
      </c>
      <c r="J8" s="154">
        <f t="shared" si="0"/>
        <v>1108590</v>
      </c>
      <c r="K8" s="154">
        <f t="shared" si="0"/>
        <v>564677</v>
      </c>
      <c r="L8" s="320">
        <f>SUM(L9:L11)</f>
        <v>1203050</v>
      </c>
      <c r="M8" s="154">
        <f>SUM(M9:M11)</f>
        <v>0</v>
      </c>
      <c r="N8" s="480">
        <f>SUM(N9:N11)</f>
        <v>1203050</v>
      </c>
      <c r="O8" s="532">
        <f t="shared" ref="O8:O34" si="1">IF(J8=0,"",N8/J8*100)</f>
        <v>108.52073354441228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942060</v>
      </c>
      <c r="J9" s="152">
        <v>942060</v>
      </c>
      <c r="K9" s="152">
        <v>472632</v>
      </c>
      <c r="L9" s="250">
        <f>980300+1350+700</f>
        <v>982350</v>
      </c>
      <c r="M9" s="152">
        <v>0</v>
      </c>
      <c r="N9" s="481">
        <f>SUM(L9:M9)</f>
        <v>982350</v>
      </c>
      <c r="O9" s="533">
        <f t="shared" si="1"/>
        <v>104.27679765620024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166530</v>
      </c>
      <c r="J10" s="152">
        <v>166530</v>
      </c>
      <c r="K10" s="152">
        <v>92045</v>
      </c>
      <c r="L10" s="250">
        <f>195100+8750+2450+36*400</f>
        <v>220700</v>
      </c>
      <c r="M10" s="152">
        <v>0</v>
      </c>
      <c r="N10" s="481">
        <f t="shared" ref="N10" si="2">SUM(L10:M10)</f>
        <v>220700</v>
      </c>
      <c r="O10" s="533">
        <f t="shared" si="1"/>
        <v>132.52867351228005</v>
      </c>
    </row>
    <row r="11" spans="2:15" ht="12.95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115740</v>
      </c>
      <c r="J12" s="154">
        <f t="shared" si="3"/>
        <v>115740</v>
      </c>
      <c r="K12" s="154">
        <f t="shared" si="3"/>
        <v>57909</v>
      </c>
      <c r="L12" s="320">
        <f t="shared" ref="L12:N12" si="4">L13</f>
        <v>120920</v>
      </c>
      <c r="M12" s="154">
        <f t="shared" si="4"/>
        <v>0</v>
      </c>
      <c r="N12" s="480">
        <f t="shared" si="4"/>
        <v>120920</v>
      </c>
      <c r="O12" s="532">
        <f t="shared" si="1"/>
        <v>104.47554864351132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115740</v>
      </c>
      <c r="J13" s="152">
        <v>115740</v>
      </c>
      <c r="K13" s="152">
        <v>57909</v>
      </c>
      <c r="L13" s="250">
        <f>120330+390+200</f>
        <v>120920</v>
      </c>
      <c r="M13" s="152">
        <v>0</v>
      </c>
      <c r="N13" s="481">
        <f>SUM(L13:M13)</f>
        <v>120920</v>
      </c>
      <c r="O13" s="533">
        <f t="shared" si="1"/>
        <v>104.47554864351132</v>
      </c>
    </row>
    <row r="14" spans="2:15" ht="12.95" customHeight="1" x14ac:dyDescent="0.25">
      <c r="B14" s="10"/>
      <c r="C14" s="11"/>
      <c r="D14" s="11"/>
      <c r="E14" s="11"/>
      <c r="F14" s="119"/>
      <c r="G14" s="134"/>
      <c r="H14" s="22"/>
      <c r="I14" s="156"/>
      <c r="J14" s="156"/>
      <c r="K14" s="156"/>
      <c r="L14" s="321"/>
      <c r="M14" s="156"/>
      <c r="N14" s="455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153300</v>
      </c>
      <c r="J15" s="156">
        <f t="shared" si="5"/>
        <v>153300</v>
      </c>
      <c r="K15" s="156">
        <f t="shared" si="5"/>
        <v>77914</v>
      </c>
      <c r="L15" s="321">
        <f>SUM(L16:L24)</f>
        <v>157300</v>
      </c>
      <c r="M15" s="156">
        <f>SUM(M16:M24)</f>
        <v>0</v>
      </c>
      <c r="N15" s="455">
        <f>SUM(N16:N24)</f>
        <v>157300</v>
      </c>
      <c r="O15" s="532">
        <f t="shared" si="1"/>
        <v>102.60926288323549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3500</v>
      </c>
      <c r="J16" s="152">
        <v>3500</v>
      </c>
      <c r="K16" s="152">
        <v>708</v>
      </c>
      <c r="L16" s="250">
        <v>3500</v>
      </c>
      <c r="M16" s="152">
        <v>0</v>
      </c>
      <c r="N16" s="481">
        <f t="shared" ref="N16:N24" si="6">SUM(L16:M16)</f>
        <v>3500</v>
      </c>
      <c r="O16" s="533">
        <f t="shared" si="1"/>
        <v>100</v>
      </c>
    </row>
    <row r="17" spans="2:17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23000</v>
      </c>
      <c r="J17" s="152">
        <v>23000</v>
      </c>
      <c r="K17" s="152">
        <v>8133</v>
      </c>
      <c r="L17" s="250">
        <v>23000</v>
      </c>
      <c r="M17" s="152">
        <v>0</v>
      </c>
      <c r="N17" s="481">
        <f t="shared" si="6"/>
        <v>23000</v>
      </c>
      <c r="O17" s="533">
        <f t="shared" si="1"/>
        <v>100</v>
      </c>
    </row>
    <row r="18" spans="2:17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9000</v>
      </c>
      <c r="J18" s="152">
        <v>9000</v>
      </c>
      <c r="K18" s="152">
        <v>3679</v>
      </c>
      <c r="L18" s="250">
        <v>9000</v>
      </c>
      <c r="M18" s="152">
        <v>0</v>
      </c>
      <c r="N18" s="481">
        <f t="shared" si="6"/>
        <v>9000</v>
      </c>
      <c r="O18" s="533">
        <f t="shared" si="1"/>
        <v>100</v>
      </c>
    </row>
    <row r="19" spans="2:17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54000</v>
      </c>
      <c r="J19" s="152">
        <v>51500</v>
      </c>
      <c r="K19" s="152">
        <v>39796</v>
      </c>
      <c r="L19" s="250">
        <v>54000</v>
      </c>
      <c r="M19" s="152">
        <v>0</v>
      </c>
      <c r="N19" s="481">
        <f t="shared" si="6"/>
        <v>54000</v>
      </c>
      <c r="O19" s="533">
        <f t="shared" si="1"/>
        <v>104.85436893203884</v>
      </c>
    </row>
    <row r="20" spans="2:17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9000</v>
      </c>
      <c r="J20" s="152">
        <v>12000</v>
      </c>
      <c r="K20" s="152">
        <v>4758</v>
      </c>
      <c r="L20" s="250">
        <v>13000</v>
      </c>
      <c r="M20" s="152">
        <v>0</v>
      </c>
      <c r="N20" s="481">
        <f t="shared" si="6"/>
        <v>13000</v>
      </c>
      <c r="O20" s="533">
        <f t="shared" si="1"/>
        <v>108.33333333333333</v>
      </c>
    </row>
    <row r="21" spans="2:17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7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20000</v>
      </c>
      <c r="J22" s="152">
        <v>17000</v>
      </c>
      <c r="K22" s="152">
        <v>6775</v>
      </c>
      <c r="L22" s="250">
        <v>20000</v>
      </c>
      <c r="M22" s="152">
        <v>0</v>
      </c>
      <c r="N22" s="481">
        <f t="shared" si="6"/>
        <v>20000</v>
      </c>
      <c r="O22" s="533">
        <f t="shared" si="1"/>
        <v>117.64705882352942</v>
      </c>
    </row>
    <row r="23" spans="2:17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4800</v>
      </c>
      <c r="J23" s="152">
        <v>7300</v>
      </c>
      <c r="K23" s="152">
        <v>556</v>
      </c>
      <c r="L23" s="250">
        <v>4800</v>
      </c>
      <c r="M23" s="152">
        <v>0</v>
      </c>
      <c r="N23" s="481">
        <f t="shared" si="6"/>
        <v>4800</v>
      </c>
      <c r="O23" s="533">
        <f t="shared" si="1"/>
        <v>65.753424657534239</v>
      </c>
    </row>
    <row r="24" spans="2:17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30000</v>
      </c>
      <c r="J24" s="152">
        <v>30000</v>
      </c>
      <c r="K24" s="152">
        <v>13509</v>
      </c>
      <c r="L24" s="250">
        <v>30000</v>
      </c>
      <c r="M24" s="152">
        <v>0</v>
      </c>
      <c r="N24" s="481">
        <f t="shared" si="6"/>
        <v>30000</v>
      </c>
      <c r="O24" s="533">
        <f t="shared" si="1"/>
        <v>100</v>
      </c>
    </row>
    <row r="25" spans="2:17" ht="12.95" customHeight="1" x14ac:dyDescent="0.2">
      <c r="B25" s="10"/>
      <c r="C25" s="11"/>
      <c r="D25" s="11"/>
      <c r="E25" s="11"/>
      <c r="F25" s="119"/>
      <c r="G25" s="134"/>
      <c r="H25" s="22"/>
      <c r="I25" s="154"/>
      <c r="J25" s="154"/>
      <c r="K25" s="154"/>
      <c r="L25" s="320"/>
      <c r="M25" s="154"/>
      <c r="N25" s="580"/>
      <c r="O25" s="533" t="str">
        <f t="shared" si="1"/>
        <v/>
      </c>
    </row>
    <row r="26" spans="2:17" s="1" customFormat="1" ht="12.95" customHeight="1" x14ac:dyDescent="0.25">
      <c r="B26" s="12"/>
      <c r="C26" s="8"/>
      <c r="D26" s="8"/>
      <c r="E26" s="8"/>
      <c r="F26" s="118">
        <v>614000</v>
      </c>
      <c r="G26" s="133"/>
      <c r="H26" s="23" t="s">
        <v>434</v>
      </c>
      <c r="I26" s="154">
        <f t="shared" ref="I26:K26" si="7">I27+I28</f>
        <v>590000</v>
      </c>
      <c r="J26" s="154">
        <f t="shared" si="7"/>
        <v>590000</v>
      </c>
      <c r="K26" s="154">
        <f t="shared" si="7"/>
        <v>509906</v>
      </c>
      <c r="L26" s="320">
        <f t="shared" ref="L26:M26" si="8">L27+L28</f>
        <v>500000</v>
      </c>
      <c r="M26" s="154">
        <f t="shared" si="8"/>
        <v>90000</v>
      </c>
      <c r="N26" s="455">
        <f t="shared" ref="N26" si="9">N27+N28</f>
        <v>590000</v>
      </c>
      <c r="O26" s="532">
        <f t="shared" si="1"/>
        <v>100</v>
      </c>
    </row>
    <row r="27" spans="2:17" ht="12.95" customHeight="1" x14ac:dyDescent="0.2">
      <c r="B27" s="10"/>
      <c r="C27" s="11"/>
      <c r="D27" s="11"/>
      <c r="E27" s="11"/>
      <c r="F27" s="301">
        <v>614100</v>
      </c>
      <c r="G27" s="302" t="s">
        <v>452</v>
      </c>
      <c r="H27" s="254" t="s">
        <v>719</v>
      </c>
      <c r="I27" s="152">
        <v>500000</v>
      </c>
      <c r="J27" s="152">
        <v>500000</v>
      </c>
      <c r="K27" s="152">
        <v>500000</v>
      </c>
      <c r="L27" s="250">
        <v>500000</v>
      </c>
      <c r="M27" s="152">
        <v>0</v>
      </c>
      <c r="N27" s="481">
        <f t="shared" ref="N27:N28" si="10">SUM(L27:M27)</f>
        <v>500000</v>
      </c>
      <c r="O27" s="533">
        <f t="shared" si="1"/>
        <v>100</v>
      </c>
    </row>
    <row r="28" spans="2:17" ht="12.75" customHeight="1" x14ac:dyDescent="0.2">
      <c r="B28" s="10"/>
      <c r="C28" s="11"/>
      <c r="D28" s="11"/>
      <c r="E28" s="11"/>
      <c r="F28" s="301">
        <v>614200</v>
      </c>
      <c r="G28" s="302" t="s">
        <v>470</v>
      </c>
      <c r="H28" s="254" t="s">
        <v>720</v>
      </c>
      <c r="I28" s="152">
        <v>90000</v>
      </c>
      <c r="J28" s="152">
        <v>90000</v>
      </c>
      <c r="K28" s="152">
        <v>9906</v>
      </c>
      <c r="L28" s="250">
        <v>0</v>
      </c>
      <c r="M28" s="152">
        <v>90000</v>
      </c>
      <c r="N28" s="481">
        <f t="shared" si="10"/>
        <v>90000</v>
      </c>
      <c r="O28" s="533">
        <f t="shared" si="1"/>
        <v>100</v>
      </c>
      <c r="Q28" s="45"/>
    </row>
    <row r="29" spans="2:17" ht="12.95" customHeight="1" x14ac:dyDescent="0.2">
      <c r="B29" s="10"/>
      <c r="C29" s="11"/>
      <c r="D29" s="11"/>
      <c r="E29" s="11"/>
      <c r="F29" s="118"/>
      <c r="G29" s="133"/>
      <c r="H29" s="23"/>
      <c r="I29" s="152"/>
      <c r="J29" s="152"/>
      <c r="K29" s="152"/>
      <c r="L29" s="250"/>
      <c r="M29" s="152"/>
      <c r="N29" s="457"/>
      <c r="O29" s="533" t="str">
        <f t="shared" si="1"/>
        <v/>
      </c>
    </row>
    <row r="30" spans="2:17" ht="12.95" customHeight="1" x14ac:dyDescent="0.25">
      <c r="B30" s="12"/>
      <c r="C30" s="8"/>
      <c r="D30" s="8"/>
      <c r="E30" s="8"/>
      <c r="F30" s="118">
        <v>821000</v>
      </c>
      <c r="G30" s="133"/>
      <c r="H30" s="23" t="s">
        <v>526</v>
      </c>
      <c r="I30" s="154">
        <f t="shared" ref="I30:K30" si="11">SUM(I31:I34)</f>
        <v>329000</v>
      </c>
      <c r="J30" s="154">
        <f t="shared" si="11"/>
        <v>329000</v>
      </c>
      <c r="K30" s="154">
        <f t="shared" si="11"/>
        <v>14839</v>
      </c>
      <c r="L30" s="320">
        <f t="shared" ref="L30:N30" si="12">SUM(L31:L34)</f>
        <v>108364</v>
      </c>
      <c r="M30" s="154">
        <f t="shared" si="12"/>
        <v>125396</v>
      </c>
      <c r="N30" s="455">
        <f t="shared" si="12"/>
        <v>233760</v>
      </c>
      <c r="O30" s="532">
        <f t="shared" si="1"/>
        <v>71.051671732522792</v>
      </c>
    </row>
    <row r="31" spans="2:17" ht="12.95" customHeight="1" x14ac:dyDescent="0.2">
      <c r="B31" s="10"/>
      <c r="C31" s="11"/>
      <c r="D31" s="11"/>
      <c r="E31" s="11"/>
      <c r="F31" s="119">
        <v>821200</v>
      </c>
      <c r="G31" s="134"/>
      <c r="H31" s="22" t="s">
        <v>528</v>
      </c>
      <c r="I31" s="155">
        <v>100000</v>
      </c>
      <c r="J31" s="155">
        <v>100000</v>
      </c>
      <c r="K31" s="155">
        <v>410</v>
      </c>
      <c r="L31" s="251">
        <v>80000</v>
      </c>
      <c r="M31" s="155">
        <v>70000</v>
      </c>
      <c r="N31" s="481">
        <f t="shared" ref="N31:N32" si="13">SUM(L31:M31)</f>
        <v>150000</v>
      </c>
      <c r="O31" s="533">
        <f t="shared" si="1"/>
        <v>150</v>
      </c>
      <c r="P31" s="275"/>
    </row>
    <row r="32" spans="2:17" s="1" customFormat="1" ht="12.95" customHeight="1" x14ac:dyDescent="0.2">
      <c r="B32" s="10"/>
      <c r="C32" s="11"/>
      <c r="D32" s="11"/>
      <c r="E32" s="11"/>
      <c r="F32" s="119">
        <v>821300</v>
      </c>
      <c r="G32" s="134"/>
      <c r="H32" s="296" t="s">
        <v>529</v>
      </c>
      <c r="I32" s="152">
        <v>9000</v>
      </c>
      <c r="J32" s="152">
        <v>9000</v>
      </c>
      <c r="K32" s="152">
        <v>656</v>
      </c>
      <c r="L32" s="250">
        <v>0</v>
      </c>
      <c r="M32" s="152">
        <v>9000</v>
      </c>
      <c r="N32" s="481">
        <f t="shared" si="13"/>
        <v>9000</v>
      </c>
      <c r="O32" s="533">
        <f t="shared" si="1"/>
        <v>100</v>
      </c>
    </row>
    <row r="33" spans="2:15" s="1" customFormat="1" ht="12.95" customHeight="1" x14ac:dyDescent="0.2">
      <c r="B33" s="10"/>
      <c r="C33" s="11"/>
      <c r="D33" s="11"/>
      <c r="E33" s="11"/>
      <c r="F33" s="119">
        <v>821300</v>
      </c>
      <c r="G33" s="134" t="s">
        <v>530</v>
      </c>
      <c r="H33" s="296" t="s">
        <v>531</v>
      </c>
      <c r="I33" s="152">
        <v>220000</v>
      </c>
      <c r="J33" s="152">
        <v>220000</v>
      </c>
      <c r="K33" s="152">
        <v>13773</v>
      </c>
      <c r="L33" s="250">
        <f>20000+54756-46392</f>
        <v>28364</v>
      </c>
      <c r="M33" s="152">
        <f>46396</f>
        <v>46396</v>
      </c>
      <c r="N33" s="481">
        <f t="shared" ref="N33" si="14">SUM(L33:M33)</f>
        <v>74760</v>
      </c>
      <c r="O33" s="533">
        <f t="shared" si="1"/>
        <v>33.981818181818177</v>
      </c>
    </row>
    <row r="34" spans="2:15" ht="12.95" customHeight="1" x14ac:dyDescent="0.2">
      <c r="B34" s="10"/>
      <c r="C34" s="11"/>
      <c r="D34" s="11"/>
      <c r="E34" s="11"/>
      <c r="F34" s="119"/>
      <c r="G34" s="134"/>
      <c r="H34" s="22"/>
      <c r="I34" s="152"/>
      <c r="J34" s="152"/>
      <c r="K34" s="152"/>
      <c r="L34" s="250"/>
      <c r="M34" s="152"/>
      <c r="N34" s="457"/>
      <c r="O34" s="533" t="str">
        <f t="shared" si="1"/>
        <v/>
      </c>
    </row>
    <row r="35" spans="2:15" ht="12.95" customHeight="1" x14ac:dyDescent="0.25">
      <c r="B35" s="12"/>
      <c r="C35" s="8"/>
      <c r="D35" s="8"/>
      <c r="E35" s="8"/>
      <c r="F35" s="118"/>
      <c r="G35" s="133"/>
      <c r="H35" s="23" t="s">
        <v>540</v>
      </c>
      <c r="I35" s="266">
        <v>37</v>
      </c>
      <c r="J35" s="266">
        <v>37</v>
      </c>
      <c r="K35" s="266">
        <v>36</v>
      </c>
      <c r="L35" s="322">
        <v>36</v>
      </c>
      <c r="M35" s="154"/>
      <c r="N35" s="450">
        <v>36</v>
      </c>
      <c r="O35" s="533"/>
    </row>
    <row r="36" spans="2:15" ht="12.95" customHeight="1" x14ac:dyDescent="0.25">
      <c r="B36" s="12"/>
      <c r="C36" s="8"/>
      <c r="D36" s="8"/>
      <c r="E36" s="8"/>
      <c r="F36" s="118"/>
      <c r="G36" s="133"/>
      <c r="H36" s="8" t="s">
        <v>557</v>
      </c>
      <c r="I36" s="256">
        <f t="shared" ref="I36:N36" si="15">I8+I12+I15+I26+I30</f>
        <v>2296630</v>
      </c>
      <c r="J36" s="14">
        <f t="shared" si="15"/>
        <v>2296630</v>
      </c>
      <c r="K36" s="14">
        <f t="shared" si="15"/>
        <v>1225245</v>
      </c>
      <c r="L36" s="259">
        <f t="shared" si="15"/>
        <v>2089634</v>
      </c>
      <c r="M36" s="14">
        <f t="shared" si="15"/>
        <v>215396</v>
      </c>
      <c r="N36" s="455">
        <f t="shared" si="15"/>
        <v>2305030</v>
      </c>
      <c r="O36" s="532">
        <f>IF(J36=0,"",N36/J36*100)</f>
        <v>100.36575329939956</v>
      </c>
    </row>
    <row r="37" spans="2:15" s="1" customFormat="1" ht="12.95" customHeight="1" x14ac:dyDescent="0.25">
      <c r="B37" s="12"/>
      <c r="C37" s="8"/>
      <c r="D37" s="8"/>
      <c r="E37" s="8"/>
      <c r="F37" s="118"/>
      <c r="G37" s="133"/>
      <c r="H37" s="8" t="s">
        <v>558</v>
      </c>
      <c r="I37" s="256">
        <f t="shared" ref="I37:J38" si="16">I36</f>
        <v>2296630</v>
      </c>
      <c r="J37" s="14">
        <f t="shared" si="16"/>
        <v>2296630</v>
      </c>
      <c r="K37" s="14">
        <f t="shared" ref="K37" si="17">K36</f>
        <v>1225245</v>
      </c>
      <c r="L37" s="259">
        <f t="shared" ref="L37:N38" si="18">L36</f>
        <v>2089634</v>
      </c>
      <c r="M37" s="14">
        <f t="shared" si="18"/>
        <v>215396</v>
      </c>
      <c r="N37" s="455">
        <f t="shared" si="18"/>
        <v>2305030</v>
      </c>
      <c r="O37" s="532">
        <f>IF(J37=0,"",N37/J37*100)</f>
        <v>100.36575329939956</v>
      </c>
    </row>
    <row r="38" spans="2:15" s="1" customFormat="1" ht="12.95" customHeight="1" x14ac:dyDescent="0.25">
      <c r="B38" s="12"/>
      <c r="C38" s="8"/>
      <c r="D38" s="8"/>
      <c r="E38" s="8"/>
      <c r="F38" s="118"/>
      <c r="G38" s="133"/>
      <c r="H38" s="8" t="s">
        <v>559</v>
      </c>
      <c r="I38" s="14">
        <f t="shared" si="16"/>
        <v>2296630</v>
      </c>
      <c r="J38" s="14">
        <f t="shared" si="16"/>
        <v>2296630</v>
      </c>
      <c r="K38" s="14">
        <f t="shared" ref="K38" si="19">K37</f>
        <v>1225245</v>
      </c>
      <c r="L38" s="259">
        <f t="shared" si="18"/>
        <v>2089634</v>
      </c>
      <c r="M38" s="14">
        <f t="shared" si="18"/>
        <v>215396</v>
      </c>
      <c r="N38" s="455">
        <f t="shared" si="18"/>
        <v>2305030</v>
      </c>
      <c r="O38" s="532">
        <f>IF(J38=0,"",N38/J38*100)</f>
        <v>100.36575329939956</v>
      </c>
    </row>
    <row r="39" spans="2:15" s="1" customFormat="1" ht="12.95" customHeight="1" thickBot="1" x14ac:dyDescent="0.3">
      <c r="B39" s="15"/>
      <c r="C39" s="16"/>
      <c r="D39" s="16"/>
      <c r="E39" s="16"/>
      <c r="F39" s="120"/>
      <c r="G39" s="135"/>
      <c r="H39" s="16"/>
      <c r="I39" s="57"/>
      <c r="J39" s="57"/>
      <c r="K39" s="57"/>
      <c r="L39" s="273"/>
      <c r="M39" s="57"/>
      <c r="N39" s="496"/>
      <c r="O39" s="536"/>
    </row>
    <row r="40" spans="2:15" s="1" customFormat="1" ht="12.95" customHeight="1" x14ac:dyDescent="0.2">
      <c r="B40" s="9"/>
      <c r="C40" s="9"/>
      <c r="D40" s="9"/>
      <c r="E40" s="9"/>
      <c r="F40" s="121"/>
      <c r="G40" s="136"/>
      <c r="H40" s="9"/>
      <c r="I40" s="43"/>
      <c r="J40" s="43"/>
      <c r="K40" s="43"/>
      <c r="L40" s="43"/>
      <c r="M40" s="43"/>
      <c r="N40" s="164"/>
      <c r="O40" s="146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2.95" customHeight="1" x14ac:dyDescent="0.2">
      <c r="F58" s="121"/>
      <c r="G58" s="136"/>
      <c r="N58" s="162"/>
    </row>
    <row r="59" spans="6:14" ht="17.100000000000001" customHeight="1" x14ac:dyDescent="0.2">
      <c r="F59" s="121"/>
      <c r="G59" s="136"/>
      <c r="N59" s="162"/>
    </row>
    <row r="60" spans="6:14" ht="17.100000000000001" customHeight="1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36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ht="14.25" x14ac:dyDescent="0.2">
      <c r="F89" s="121"/>
      <c r="G89" s="121"/>
      <c r="N89" s="162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  <row r="95" spans="6:14" x14ac:dyDescent="0.2">
      <c r="G95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9"/>
  <dimension ref="B1:Q94"/>
  <sheetViews>
    <sheetView topLeftCell="I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721</v>
      </c>
      <c r="C2" s="639"/>
      <c r="D2" s="639"/>
      <c r="E2" s="639"/>
      <c r="F2" s="639"/>
      <c r="G2" s="639"/>
      <c r="H2" s="639"/>
      <c r="I2" s="639"/>
      <c r="J2" s="666"/>
      <c r="K2" s="666"/>
      <c r="L2" s="666"/>
      <c r="M2" s="666"/>
      <c r="N2" s="666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722</v>
      </c>
      <c r="C7" s="7" t="s">
        <v>554</v>
      </c>
      <c r="D7" s="7" t="s">
        <v>555</v>
      </c>
      <c r="E7" s="285" t="s">
        <v>599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780790</v>
      </c>
      <c r="J8" s="154">
        <f t="shared" si="0"/>
        <v>790790</v>
      </c>
      <c r="K8" s="154">
        <f t="shared" si="0"/>
        <v>375437</v>
      </c>
      <c r="L8" s="320">
        <f>SUM(L9:L10)</f>
        <v>739170</v>
      </c>
      <c r="M8" s="154">
        <f>SUM(M9:M10)</f>
        <v>0</v>
      </c>
      <c r="N8" s="480">
        <f>SUM(N9:N10)</f>
        <v>739170</v>
      </c>
      <c r="O8" s="532">
        <f t="shared" ref="O8:O29" si="1">IF(J8=0,"",N8/J8*100)</f>
        <v>93.472350434375755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667580</v>
      </c>
      <c r="J9" s="155">
        <v>667580</v>
      </c>
      <c r="K9" s="155">
        <v>276551</v>
      </c>
      <c r="L9" s="251">
        <f>583420+1000+2*2800</f>
        <v>590020</v>
      </c>
      <c r="M9" s="155"/>
      <c r="N9" s="481">
        <f>SUM(L9:M9)</f>
        <v>590020</v>
      </c>
      <c r="O9" s="533">
        <f t="shared" si="1"/>
        <v>88.381916774019601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113210</v>
      </c>
      <c r="J10" s="155">
        <v>123210</v>
      </c>
      <c r="K10" s="155">
        <v>98886</v>
      </c>
      <c r="L10" s="251">
        <f>140210+700+1000+2*420+16*400</f>
        <v>149150</v>
      </c>
      <c r="M10" s="155"/>
      <c r="N10" s="481">
        <f t="shared" ref="N10" si="2">SUM(L10:M10)</f>
        <v>149150</v>
      </c>
      <c r="O10" s="533">
        <f t="shared" si="1"/>
        <v>121.05348591835079</v>
      </c>
    </row>
    <row r="11" spans="2:15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69920</v>
      </c>
      <c r="J12" s="154">
        <f t="shared" si="3"/>
        <v>69920</v>
      </c>
      <c r="K12" s="154">
        <f t="shared" si="3"/>
        <v>29038</v>
      </c>
      <c r="L12" s="320">
        <f t="shared" ref="L12:N12" si="4">L13</f>
        <v>62360</v>
      </c>
      <c r="M12" s="154">
        <f t="shared" si="4"/>
        <v>0</v>
      </c>
      <c r="N12" s="480">
        <f t="shared" si="4"/>
        <v>62360</v>
      </c>
      <c r="O12" s="532">
        <f t="shared" si="1"/>
        <v>89.187643020594962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69920</v>
      </c>
      <c r="J13" s="155">
        <v>69920</v>
      </c>
      <c r="K13" s="155">
        <v>29038</v>
      </c>
      <c r="L13" s="251">
        <f>61340+400+2*310</f>
        <v>62360</v>
      </c>
      <c r="M13" s="155"/>
      <c r="N13" s="481">
        <f>SUM(L13:M13)</f>
        <v>62360</v>
      </c>
      <c r="O13" s="533">
        <f t="shared" si="1"/>
        <v>89.187643020594962</v>
      </c>
    </row>
    <row r="14" spans="2:15" ht="12.95" customHeight="1" x14ac:dyDescent="0.25">
      <c r="B14" s="10"/>
      <c r="C14" s="11"/>
      <c r="D14" s="11"/>
      <c r="E14" s="11"/>
      <c r="F14" s="119"/>
      <c r="G14" s="134"/>
      <c r="H14" s="22"/>
      <c r="I14" s="154"/>
      <c r="J14" s="154"/>
      <c r="K14" s="154"/>
      <c r="L14" s="320"/>
      <c r="M14" s="154"/>
      <c r="N14" s="455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4">
        <f t="shared" ref="I15:K15" si="5">SUM(I16:I24)</f>
        <v>109000</v>
      </c>
      <c r="J15" s="154">
        <f t="shared" si="5"/>
        <v>99000</v>
      </c>
      <c r="K15" s="154">
        <f t="shared" si="5"/>
        <v>55276</v>
      </c>
      <c r="L15" s="321">
        <f>SUM(L16:L24)</f>
        <v>148000</v>
      </c>
      <c r="M15" s="156">
        <f>SUM(M16:M24)</f>
        <v>0</v>
      </c>
      <c r="N15" s="455">
        <f>SUM(N16:N24)</f>
        <v>148000</v>
      </c>
      <c r="O15" s="532">
        <f t="shared" si="1"/>
        <v>149.49494949494951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3500</v>
      </c>
      <c r="J16" s="155">
        <v>5500</v>
      </c>
      <c r="K16" s="155">
        <v>3050</v>
      </c>
      <c r="L16" s="251">
        <v>5500</v>
      </c>
      <c r="M16" s="155"/>
      <c r="N16" s="481">
        <f t="shared" ref="N16:N24" si="6">SUM(L16:M16)</f>
        <v>5500</v>
      </c>
      <c r="O16" s="533">
        <f t="shared" si="1"/>
        <v>100</v>
      </c>
    </row>
    <row r="17" spans="2:17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30000</v>
      </c>
      <c r="J17" s="155">
        <v>29000</v>
      </c>
      <c r="K17" s="155">
        <v>8275</v>
      </c>
      <c r="L17" s="251">
        <v>29000</v>
      </c>
      <c r="M17" s="155"/>
      <c r="N17" s="481">
        <f t="shared" si="6"/>
        <v>29000</v>
      </c>
      <c r="O17" s="533">
        <f t="shared" si="1"/>
        <v>100</v>
      </c>
    </row>
    <row r="18" spans="2:17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14000</v>
      </c>
      <c r="J18" s="155">
        <v>14000</v>
      </c>
      <c r="K18" s="155">
        <v>7080</v>
      </c>
      <c r="L18" s="251">
        <v>15000</v>
      </c>
      <c r="M18" s="155"/>
      <c r="N18" s="481">
        <f t="shared" si="6"/>
        <v>15000</v>
      </c>
      <c r="O18" s="533">
        <f t="shared" si="1"/>
        <v>107.14285714285714</v>
      </c>
    </row>
    <row r="19" spans="2:17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8000</v>
      </c>
      <c r="J19" s="155">
        <v>8000</v>
      </c>
      <c r="K19" s="155">
        <v>4002</v>
      </c>
      <c r="L19" s="251">
        <v>10000</v>
      </c>
      <c r="M19" s="155"/>
      <c r="N19" s="481">
        <f t="shared" si="6"/>
        <v>10000</v>
      </c>
      <c r="O19" s="533">
        <f t="shared" si="1"/>
        <v>125</v>
      </c>
    </row>
    <row r="20" spans="2:17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4500</v>
      </c>
      <c r="J20" s="155">
        <v>4500</v>
      </c>
      <c r="K20" s="155">
        <v>1624</v>
      </c>
      <c r="L20" s="251">
        <v>4500</v>
      </c>
      <c r="M20" s="155"/>
      <c r="N20" s="481">
        <f t="shared" si="6"/>
        <v>4500</v>
      </c>
      <c r="O20" s="533">
        <f t="shared" si="1"/>
        <v>100</v>
      </c>
    </row>
    <row r="21" spans="2:17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/>
      <c r="N21" s="481">
        <f t="shared" si="6"/>
        <v>0</v>
      </c>
      <c r="O21" s="533" t="str">
        <f t="shared" si="1"/>
        <v/>
      </c>
    </row>
    <row r="22" spans="2:17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7000</v>
      </c>
      <c r="J22" s="155">
        <v>7000</v>
      </c>
      <c r="K22" s="155">
        <v>4372</v>
      </c>
      <c r="L22" s="251">
        <f>7000+7000</f>
        <v>14000</v>
      </c>
      <c r="M22" s="155"/>
      <c r="N22" s="481">
        <f t="shared" si="6"/>
        <v>14000</v>
      </c>
      <c r="O22" s="533">
        <f t="shared" si="1"/>
        <v>200</v>
      </c>
    </row>
    <row r="23" spans="2:17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2000</v>
      </c>
      <c r="J23" s="155">
        <v>2000</v>
      </c>
      <c r="K23" s="155">
        <v>0</v>
      </c>
      <c r="L23" s="251">
        <v>2000</v>
      </c>
      <c r="M23" s="155"/>
      <c r="N23" s="481">
        <f t="shared" si="6"/>
        <v>2000</v>
      </c>
      <c r="O23" s="533">
        <f t="shared" si="1"/>
        <v>100</v>
      </c>
    </row>
    <row r="24" spans="2:17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40000</v>
      </c>
      <c r="J24" s="155">
        <v>29000</v>
      </c>
      <c r="K24" s="155">
        <v>26873</v>
      </c>
      <c r="L24" s="251">
        <v>68000</v>
      </c>
      <c r="M24" s="155"/>
      <c r="N24" s="481">
        <f t="shared" si="6"/>
        <v>68000</v>
      </c>
      <c r="O24" s="533">
        <f t="shared" si="1"/>
        <v>234.48275862068962</v>
      </c>
    </row>
    <row r="25" spans="2:17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7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19000</v>
      </c>
      <c r="J26" s="154">
        <f t="shared" si="7"/>
        <v>91000</v>
      </c>
      <c r="K26" s="154">
        <f t="shared" si="7"/>
        <v>9961</v>
      </c>
      <c r="L26" s="320">
        <f t="shared" ref="L26:N26" si="8">SUM(L27:L28)</f>
        <v>80207</v>
      </c>
      <c r="M26" s="154">
        <f t="shared" si="8"/>
        <v>55893</v>
      </c>
      <c r="N26" s="455">
        <f t="shared" si="8"/>
        <v>136100</v>
      </c>
      <c r="O26" s="532">
        <f t="shared" si="1"/>
        <v>149.56043956043956</v>
      </c>
    </row>
    <row r="27" spans="2:17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14000</v>
      </c>
      <c r="J27" s="155">
        <v>86000</v>
      </c>
      <c r="K27" s="155">
        <v>4988</v>
      </c>
      <c r="L27" s="251">
        <f>128100-55893</f>
        <v>72207</v>
      </c>
      <c r="M27" s="155">
        <f>51100+4793</f>
        <v>55893</v>
      </c>
      <c r="N27" s="481">
        <f t="shared" ref="N27:N28" si="9">SUM(L27:M27)</f>
        <v>128100</v>
      </c>
      <c r="O27" s="533">
        <f t="shared" si="1"/>
        <v>148.95348837209301</v>
      </c>
      <c r="Q27" s="45"/>
    </row>
    <row r="28" spans="2:17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5000</v>
      </c>
      <c r="J28" s="155">
        <v>5000</v>
      </c>
      <c r="K28" s="155">
        <v>4973</v>
      </c>
      <c r="L28" s="251">
        <f>5000+3000</f>
        <v>8000</v>
      </c>
      <c r="M28" s="155">
        <v>0</v>
      </c>
      <c r="N28" s="481">
        <f t="shared" si="9"/>
        <v>8000</v>
      </c>
      <c r="O28" s="547">
        <f t="shared" si="1"/>
        <v>160</v>
      </c>
    </row>
    <row r="29" spans="2:17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7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154">
        <v>16</v>
      </c>
      <c r="J30" s="154">
        <v>16</v>
      </c>
      <c r="K30" s="154">
        <v>14</v>
      </c>
      <c r="L30" s="320">
        <v>16</v>
      </c>
      <c r="M30" s="154"/>
      <c r="N30" s="455">
        <v>16</v>
      </c>
      <c r="O30" s="533"/>
    </row>
    <row r="31" spans="2:17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978710</v>
      </c>
      <c r="J31" s="14">
        <f t="shared" si="10"/>
        <v>1050710</v>
      </c>
      <c r="K31" s="14">
        <f t="shared" si="10"/>
        <v>469712</v>
      </c>
      <c r="L31" s="259">
        <f t="shared" si="10"/>
        <v>1029737</v>
      </c>
      <c r="M31" s="14">
        <f t="shared" si="10"/>
        <v>55893</v>
      </c>
      <c r="N31" s="455">
        <f t="shared" si="10"/>
        <v>1085630</v>
      </c>
      <c r="O31" s="532">
        <f>IF(J31=0,"",N31/J31*100)</f>
        <v>103.3234669889884</v>
      </c>
    </row>
    <row r="32" spans="2:17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>
        <f t="shared" ref="I32:J32" si="11">I31</f>
        <v>978710</v>
      </c>
      <c r="J32" s="14">
        <f t="shared" si="11"/>
        <v>1050710</v>
      </c>
      <c r="K32" s="14">
        <f t="shared" ref="K32" si="12">K31</f>
        <v>469712</v>
      </c>
      <c r="L32" s="259">
        <f t="shared" ref="L32:N33" si="13">L31</f>
        <v>1029737</v>
      </c>
      <c r="M32" s="14">
        <f t="shared" si="13"/>
        <v>55893</v>
      </c>
      <c r="N32" s="455">
        <f t="shared" si="13"/>
        <v>1085630</v>
      </c>
      <c r="O32" s="532">
        <f>IF(J32=0,"",N32/J32*100)</f>
        <v>103.3234669889884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>
        <f t="shared" ref="I33:J33" si="14">I32</f>
        <v>978710</v>
      </c>
      <c r="J33" s="14">
        <f t="shared" si="14"/>
        <v>1050710</v>
      </c>
      <c r="K33" s="14">
        <f t="shared" ref="K33" si="15">K32</f>
        <v>469712</v>
      </c>
      <c r="L33" s="259">
        <f t="shared" si="13"/>
        <v>1029737</v>
      </c>
      <c r="M33" s="14">
        <f t="shared" si="13"/>
        <v>55893</v>
      </c>
      <c r="N33" s="455">
        <f t="shared" si="13"/>
        <v>1085630</v>
      </c>
      <c r="O33" s="532">
        <f>IF(J33=0,"",N33/J33*100)</f>
        <v>103.3234669889884</v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40"/>
  <dimension ref="B1:O94"/>
  <sheetViews>
    <sheetView topLeftCell="F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723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724</v>
      </c>
      <c r="C7" s="7" t="s">
        <v>554</v>
      </c>
      <c r="D7" s="7" t="s">
        <v>555</v>
      </c>
      <c r="E7" s="285" t="s">
        <v>599</v>
      </c>
      <c r="F7" s="5"/>
      <c r="G7" s="5"/>
      <c r="H7" s="5"/>
      <c r="I7" s="255"/>
      <c r="J7" s="5"/>
      <c r="K7" s="5"/>
      <c r="L7" s="4"/>
      <c r="M7" s="5"/>
      <c r="N7" s="479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99230</v>
      </c>
      <c r="J8" s="154">
        <f t="shared" si="0"/>
        <v>99230</v>
      </c>
      <c r="K8" s="154">
        <f t="shared" si="0"/>
        <v>50239</v>
      </c>
      <c r="L8" s="320">
        <f>SUM(L9:L10)</f>
        <v>105280</v>
      </c>
      <c r="M8" s="154">
        <f>SUM(M9:M10)</f>
        <v>0</v>
      </c>
      <c r="N8" s="480">
        <f>SUM(N9:N10)</f>
        <v>105280</v>
      </c>
      <c r="O8" s="532">
        <f t="shared" ref="O8:O29" si="1">IF(J8=0,"",N8/J8*100)</f>
        <v>106.09694648795727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86420</v>
      </c>
      <c r="J9" s="152">
        <v>86420</v>
      </c>
      <c r="K9" s="152">
        <v>43269</v>
      </c>
      <c r="L9" s="250">
        <f>89100+100</f>
        <v>89200</v>
      </c>
      <c r="M9" s="152">
        <v>0</v>
      </c>
      <c r="N9" s="481">
        <f>SUM(L9:M9)</f>
        <v>89200</v>
      </c>
      <c r="O9" s="533">
        <f t="shared" si="1"/>
        <v>103.21684795186299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12810</v>
      </c>
      <c r="J10" s="152">
        <v>12810</v>
      </c>
      <c r="K10" s="152">
        <v>6970</v>
      </c>
      <c r="L10" s="250">
        <f>14780+100+3*400</f>
        <v>16080</v>
      </c>
      <c r="M10" s="152">
        <v>0</v>
      </c>
      <c r="N10" s="481">
        <f t="shared" ref="N10" si="2">SUM(L10:M10)</f>
        <v>16080</v>
      </c>
      <c r="O10" s="533">
        <f t="shared" si="1"/>
        <v>125.52693208430914</v>
      </c>
    </row>
    <row r="11" spans="2:15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9090</v>
      </c>
      <c r="J12" s="154">
        <f t="shared" si="3"/>
        <v>9090</v>
      </c>
      <c r="K12" s="154">
        <f t="shared" si="3"/>
        <v>4543</v>
      </c>
      <c r="L12" s="320">
        <f t="shared" ref="L12:N12" si="4">L13</f>
        <v>9470</v>
      </c>
      <c r="M12" s="154">
        <f t="shared" si="4"/>
        <v>0</v>
      </c>
      <c r="N12" s="480">
        <f t="shared" si="4"/>
        <v>9470</v>
      </c>
      <c r="O12" s="532">
        <f t="shared" si="1"/>
        <v>104.18041804180417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9090</v>
      </c>
      <c r="J13" s="152">
        <v>9090</v>
      </c>
      <c r="K13" s="152">
        <v>4543</v>
      </c>
      <c r="L13" s="250">
        <f>9450+20</f>
        <v>9470</v>
      </c>
      <c r="M13" s="152">
        <v>0</v>
      </c>
      <c r="N13" s="481">
        <f>SUM(L13:M13)</f>
        <v>9470</v>
      </c>
      <c r="O13" s="533">
        <f t="shared" si="1"/>
        <v>104.18041804180417</v>
      </c>
    </row>
    <row r="14" spans="2:15" ht="12.95" customHeight="1" x14ac:dyDescent="0.25">
      <c r="B14" s="10"/>
      <c r="C14" s="11"/>
      <c r="D14" s="11"/>
      <c r="E14" s="11"/>
      <c r="F14" s="119"/>
      <c r="G14" s="134"/>
      <c r="H14" s="22"/>
      <c r="I14" s="156"/>
      <c r="J14" s="156"/>
      <c r="K14" s="156"/>
      <c r="L14" s="321"/>
      <c r="M14" s="156"/>
      <c r="N14" s="455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9500</v>
      </c>
      <c r="J15" s="156">
        <f t="shared" si="5"/>
        <v>9500</v>
      </c>
      <c r="K15" s="156">
        <f t="shared" si="5"/>
        <v>1909</v>
      </c>
      <c r="L15" s="321">
        <f>SUM(L16:L24)</f>
        <v>9500</v>
      </c>
      <c r="M15" s="156">
        <f>SUM(M16:M24)</f>
        <v>0</v>
      </c>
      <c r="N15" s="455">
        <f>SUM(N16:N24)</f>
        <v>9500</v>
      </c>
      <c r="O15" s="532">
        <f t="shared" si="1"/>
        <v>100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1500</v>
      </c>
      <c r="J16" s="152">
        <v>1500</v>
      </c>
      <c r="K16" s="152">
        <v>0</v>
      </c>
      <c r="L16" s="250">
        <v>1500</v>
      </c>
      <c r="M16" s="152">
        <v>0</v>
      </c>
      <c r="N16" s="481">
        <f t="shared" ref="N16:N24" si="6">SUM(L16:M16)</f>
        <v>1500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0</v>
      </c>
      <c r="J17" s="152">
        <v>0</v>
      </c>
      <c r="K17" s="152">
        <v>0</v>
      </c>
      <c r="L17" s="250">
        <v>0</v>
      </c>
      <c r="M17" s="152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4000</v>
      </c>
      <c r="J18" s="152">
        <v>4000</v>
      </c>
      <c r="K18" s="152">
        <v>1222</v>
      </c>
      <c r="L18" s="250">
        <v>4000</v>
      </c>
      <c r="M18" s="152">
        <v>0</v>
      </c>
      <c r="N18" s="481">
        <f t="shared" si="6"/>
        <v>4000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1000</v>
      </c>
      <c r="J19" s="152">
        <v>1000</v>
      </c>
      <c r="K19" s="152">
        <v>405</v>
      </c>
      <c r="L19" s="250">
        <v>1000</v>
      </c>
      <c r="M19" s="152">
        <v>0</v>
      </c>
      <c r="N19" s="481">
        <f t="shared" si="6"/>
        <v>1000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0</v>
      </c>
      <c r="J20" s="152">
        <v>0</v>
      </c>
      <c r="K20" s="152">
        <v>0</v>
      </c>
      <c r="L20" s="250">
        <v>0</v>
      </c>
      <c r="M20" s="152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1000</v>
      </c>
      <c r="J22" s="152">
        <v>1000</v>
      </c>
      <c r="K22" s="152">
        <v>23</v>
      </c>
      <c r="L22" s="250">
        <v>1000</v>
      </c>
      <c r="M22" s="152">
        <v>0</v>
      </c>
      <c r="N22" s="481">
        <f t="shared" si="6"/>
        <v>1000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2000</v>
      </c>
      <c r="J24" s="152">
        <v>2000</v>
      </c>
      <c r="K24" s="152">
        <v>259</v>
      </c>
      <c r="L24" s="250">
        <v>2000</v>
      </c>
      <c r="M24" s="152">
        <v>0</v>
      </c>
      <c r="N24" s="481">
        <f t="shared" si="6"/>
        <v>2000</v>
      </c>
      <c r="O24" s="533">
        <f t="shared" si="1"/>
        <v>100</v>
      </c>
    </row>
    <row r="25" spans="2:15" ht="12.95" customHeight="1" x14ac:dyDescent="0.2">
      <c r="B25" s="10"/>
      <c r="C25" s="11"/>
      <c r="D25" s="11"/>
      <c r="E25" s="11"/>
      <c r="F25" s="119"/>
      <c r="G25" s="134"/>
      <c r="H25" s="22"/>
      <c r="I25" s="154"/>
      <c r="J25" s="154"/>
      <c r="K25" s="154"/>
      <c r="L25" s="320"/>
      <c r="M25" s="154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I27+I28</f>
        <v>2000</v>
      </c>
      <c r="J26" s="154">
        <f t="shared" si="7"/>
        <v>2000</v>
      </c>
      <c r="K26" s="154">
        <f t="shared" si="7"/>
        <v>0</v>
      </c>
      <c r="L26" s="320">
        <f t="shared" ref="L26:N26" si="8">L27+L28</f>
        <v>2000</v>
      </c>
      <c r="M26" s="154">
        <f t="shared" si="8"/>
        <v>0</v>
      </c>
      <c r="N26" s="455">
        <f t="shared" si="8"/>
        <v>2000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2">
        <v>0</v>
      </c>
      <c r="J27" s="152">
        <v>0</v>
      </c>
      <c r="K27" s="152">
        <v>0</v>
      </c>
      <c r="L27" s="250">
        <v>0</v>
      </c>
      <c r="M27" s="152">
        <v>0</v>
      </c>
      <c r="N27" s="481">
        <f t="shared" ref="N27:N28" si="9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2">
        <v>2000</v>
      </c>
      <c r="J28" s="152">
        <v>2000</v>
      </c>
      <c r="K28" s="152">
        <v>0</v>
      </c>
      <c r="L28" s="250">
        <v>2000</v>
      </c>
      <c r="M28" s="152">
        <v>0</v>
      </c>
      <c r="N28" s="481">
        <f t="shared" si="9"/>
        <v>2000</v>
      </c>
      <c r="O28" s="533">
        <f t="shared" si="1"/>
        <v>100</v>
      </c>
    </row>
    <row r="29" spans="2:15" ht="12.95" customHeight="1" x14ac:dyDescent="0.25">
      <c r="B29" s="10"/>
      <c r="C29" s="11"/>
      <c r="D29" s="11"/>
      <c r="E29" s="11"/>
      <c r="F29" s="119"/>
      <c r="G29" s="134"/>
      <c r="H29" s="22"/>
      <c r="I29" s="154"/>
      <c r="J29" s="154"/>
      <c r="K29" s="154"/>
      <c r="L29" s="320"/>
      <c r="M29" s="154"/>
      <c r="N29" s="455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154">
        <v>3</v>
      </c>
      <c r="J30" s="154">
        <v>3</v>
      </c>
      <c r="K30" s="154">
        <v>3</v>
      </c>
      <c r="L30" s="320">
        <v>3</v>
      </c>
      <c r="M30" s="154"/>
      <c r="N30" s="455">
        <v>3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119820</v>
      </c>
      <c r="J31" s="14">
        <f t="shared" si="10"/>
        <v>119820</v>
      </c>
      <c r="K31" s="14">
        <f t="shared" si="10"/>
        <v>56691</v>
      </c>
      <c r="L31" s="259">
        <f t="shared" si="10"/>
        <v>126250</v>
      </c>
      <c r="M31" s="14">
        <f t="shared" si="10"/>
        <v>0</v>
      </c>
      <c r="N31" s="455">
        <f t="shared" si="10"/>
        <v>126250</v>
      </c>
      <c r="O31" s="532">
        <f>IF(J31=0,"",N31/J31*100)</f>
        <v>105.36638290769487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>
        <f t="shared" ref="I32:J32" si="11">I31</f>
        <v>119820</v>
      </c>
      <c r="J32" s="14">
        <f t="shared" si="11"/>
        <v>119820</v>
      </c>
      <c r="K32" s="14">
        <f t="shared" ref="K32" si="12">K31</f>
        <v>56691</v>
      </c>
      <c r="L32" s="259">
        <f t="shared" ref="L32:N33" si="13">L31</f>
        <v>126250</v>
      </c>
      <c r="M32" s="14">
        <f t="shared" si="13"/>
        <v>0</v>
      </c>
      <c r="N32" s="455">
        <f t="shared" si="13"/>
        <v>126250</v>
      </c>
      <c r="O32" s="532">
        <f>IF(J32=0,"",N32/J32*100)</f>
        <v>105.36638290769487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>
        <f t="shared" ref="I33:J33" si="14">I32</f>
        <v>119820</v>
      </c>
      <c r="J33" s="14">
        <f t="shared" si="14"/>
        <v>119820</v>
      </c>
      <c r="K33" s="14">
        <f t="shared" ref="K33" si="15">K32</f>
        <v>56691</v>
      </c>
      <c r="L33" s="259">
        <f t="shared" si="13"/>
        <v>126250</v>
      </c>
      <c r="M33" s="14">
        <f t="shared" si="13"/>
        <v>0</v>
      </c>
      <c r="N33" s="455">
        <f t="shared" si="13"/>
        <v>126250</v>
      </c>
      <c r="O33" s="532">
        <f>IF(J33=0,"",N33/J33*100)</f>
        <v>105.36638290769487</v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16"/>
      <c r="J34" s="16"/>
      <c r="K34" s="16"/>
      <c r="L34" s="15"/>
      <c r="M34" s="16"/>
      <c r="N34" s="475"/>
      <c r="O34" s="534"/>
    </row>
    <row r="35" spans="2:15" ht="12.95" customHeight="1" x14ac:dyDescent="0.2">
      <c r="F35" s="121"/>
      <c r="G35" s="136"/>
      <c r="N35" s="162"/>
    </row>
    <row r="36" spans="2:15" ht="12.95" customHeight="1" x14ac:dyDescent="0.2">
      <c r="F36" s="121"/>
      <c r="G36" s="136"/>
      <c r="N36" s="162"/>
    </row>
    <row r="37" spans="2:15" ht="12.95" customHeight="1" x14ac:dyDescent="0.2">
      <c r="F37" s="121"/>
      <c r="G37" s="136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7.100000000000001" customHeight="1" x14ac:dyDescent="0.2">
      <c r="F58" s="121"/>
      <c r="G58" s="136"/>
      <c r="N58" s="162"/>
    </row>
    <row r="59" spans="6:14" ht="14.25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1"/>
  <dimension ref="B1:Q94"/>
  <sheetViews>
    <sheetView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7" ht="13.5" thickBot="1" x14ac:dyDescent="0.25"/>
    <row r="2" spans="2:17" s="63" customFormat="1" ht="20.100000000000001" customHeight="1" thickTop="1" thickBot="1" x14ac:dyDescent="0.25">
      <c r="B2" s="638" t="s">
        <v>725</v>
      </c>
      <c r="C2" s="639"/>
      <c r="D2" s="639"/>
      <c r="E2" s="639"/>
      <c r="F2" s="639"/>
      <c r="G2" s="639"/>
      <c r="H2" s="639"/>
      <c r="I2" s="639"/>
      <c r="J2" s="666"/>
      <c r="K2" s="666"/>
      <c r="L2" s="666"/>
      <c r="M2" s="666"/>
      <c r="N2" s="666"/>
      <c r="O2" s="659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726</v>
      </c>
      <c r="C7" s="7" t="s">
        <v>554</v>
      </c>
      <c r="D7" s="7" t="s">
        <v>555</v>
      </c>
      <c r="E7" s="285" t="s">
        <v>599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7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620050</v>
      </c>
      <c r="J8" s="154">
        <f t="shared" si="0"/>
        <v>620050</v>
      </c>
      <c r="K8" s="154">
        <f t="shared" si="0"/>
        <v>316587</v>
      </c>
      <c r="L8" s="320">
        <f>SUM(L9:L10)</f>
        <v>664350</v>
      </c>
      <c r="M8" s="154">
        <f>SUM(M9:M10)</f>
        <v>0</v>
      </c>
      <c r="N8" s="480">
        <f>SUM(N9:N10)</f>
        <v>664350</v>
      </c>
      <c r="O8" s="532">
        <f t="shared" ref="O8:O29" si="1">IF(J8=0,"",N8/J8*100)</f>
        <v>107.14458511410369</v>
      </c>
      <c r="Q8" s="46"/>
    </row>
    <row r="9" spans="2:17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537210</v>
      </c>
      <c r="J9" s="155">
        <v>537210</v>
      </c>
      <c r="K9" s="155">
        <v>277215</v>
      </c>
      <c r="L9" s="251">
        <f>570220+800</f>
        <v>571020</v>
      </c>
      <c r="M9" s="155">
        <v>0</v>
      </c>
      <c r="N9" s="481">
        <f>SUM(L9:M9)</f>
        <v>571020</v>
      </c>
      <c r="O9" s="533">
        <f t="shared" si="1"/>
        <v>106.29362819009327</v>
      </c>
      <c r="P9" s="275"/>
    </row>
    <row r="10" spans="2:17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82840</v>
      </c>
      <c r="J10" s="155">
        <v>82840</v>
      </c>
      <c r="K10" s="155">
        <v>39372</v>
      </c>
      <c r="L10" s="251">
        <f>81930+2*2800+600+13*400</f>
        <v>93330</v>
      </c>
      <c r="M10" s="155">
        <v>0</v>
      </c>
      <c r="N10" s="481">
        <f t="shared" ref="N10" si="2">SUM(L10:M10)</f>
        <v>93330</v>
      </c>
      <c r="O10" s="533">
        <f t="shared" si="1"/>
        <v>112.66296475132786</v>
      </c>
    </row>
    <row r="11" spans="2:17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7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56420</v>
      </c>
      <c r="J12" s="154">
        <f t="shared" si="3"/>
        <v>56420</v>
      </c>
      <c r="K12" s="154">
        <f t="shared" si="3"/>
        <v>29108</v>
      </c>
      <c r="L12" s="320">
        <f t="shared" ref="L12:N12" si="4">L13</f>
        <v>60070</v>
      </c>
      <c r="M12" s="154">
        <f t="shared" si="4"/>
        <v>0</v>
      </c>
      <c r="N12" s="480">
        <f t="shared" si="4"/>
        <v>60070</v>
      </c>
      <c r="O12" s="532">
        <f t="shared" si="1"/>
        <v>106.4693371144984</v>
      </c>
    </row>
    <row r="13" spans="2:17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56420</v>
      </c>
      <c r="J13" s="155">
        <v>56420</v>
      </c>
      <c r="K13" s="155">
        <v>29108</v>
      </c>
      <c r="L13" s="251">
        <f>59970+100</f>
        <v>60070</v>
      </c>
      <c r="M13" s="155">
        <v>0</v>
      </c>
      <c r="N13" s="481">
        <f>SUM(L13:M13)</f>
        <v>60070</v>
      </c>
      <c r="O13" s="533">
        <f t="shared" si="1"/>
        <v>106.4693371144984</v>
      </c>
    </row>
    <row r="14" spans="2:17" ht="12.95" customHeight="1" x14ac:dyDescent="0.25">
      <c r="B14" s="10"/>
      <c r="C14" s="11"/>
      <c r="D14" s="11"/>
      <c r="E14" s="11"/>
      <c r="F14" s="119"/>
      <c r="G14" s="134"/>
      <c r="H14" s="22"/>
      <c r="I14" s="154"/>
      <c r="J14" s="154"/>
      <c r="K14" s="154"/>
      <c r="L14" s="320"/>
      <c r="M14" s="154"/>
      <c r="N14" s="455"/>
      <c r="O14" s="533" t="str">
        <f t="shared" si="1"/>
        <v/>
      </c>
    </row>
    <row r="15" spans="2:17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96500</v>
      </c>
      <c r="J15" s="156">
        <f t="shared" si="5"/>
        <v>96500</v>
      </c>
      <c r="K15" s="156">
        <f t="shared" si="5"/>
        <v>34961</v>
      </c>
      <c r="L15" s="321">
        <f>SUM(L16:L24)</f>
        <v>100500</v>
      </c>
      <c r="M15" s="156">
        <f>SUM(M16:M24)</f>
        <v>0</v>
      </c>
      <c r="N15" s="455">
        <f>SUM(N16:N24)</f>
        <v>100500</v>
      </c>
      <c r="O15" s="532">
        <f t="shared" si="1"/>
        <v>104.14507772020724</v>
      </c>
    </row>
    <row r="16" spans="2:17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3000</v>
      </c>
      <c r="J16" s="155">
        <v>3000</v>
      </c>
      <c r="K16" s="155">
        <v>1125</v>
      </c>
      <c r="L16" s="251">
        <v>3000</v>
      </c>
      <c r="M16" s="155">
        <v>0</v>
      </c>
      <c r="N16" s="481">
        <f t="shared" ref="N16:N24" si="6">SUM(L16:M16)</f>
        <v>3000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7000</v>
      </c>
      <c r="J17" s="155">
        <v>7000</v>
      </c>
      <c r="K17" s="155">
        <v>1627</v>
      </c>
      <c r="L17" s="251">
        <v>7000</v>
      </c>
      <c r="M17" s="155">
        <v>0</v>
      </c>
      <c r="N17" s="481">
        <f t="shared" si="6"/>
        <v>7000</v>
      </c>
      <c r="O17" s="533">
        <f t="shared" si="1"/>
        <v>100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11000</v>
      </c>
      <c r="J18" s="155">
        <v>11000</v>
      </c>
      <c r="K18" s="155">
        <v>3858</v>
      </c>
      <c r="L18" s="251">
        <v>11000</v>
      </c>
      <c r="M18" s="155">
        <v>0</v>
      </c>
      <c r="N18" s="481">
        <f t="shared" si="6"/>
        <v>11000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17000</v>
      </c>
      <c r="J19" s="155">
        <v>17000</v>
      </c>
      <c r="K19" s="155">
        <v>5808</v>
      </c>
      <c r="L19" s="251">
        <v>17000</v>
      </c>
      <c r="M19" s="155">
        <v>0</v>
      </c>
      <c r="N19" s="481">
        <f t="shared" si="6"/>
        <v>17000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3500</v>
      </c>
      <c r="J20" s="155">
        <v>3500</v>
      </c>
      <c r="K20" s="155">
        <v>1028</v>
      </c>
      <c r="L20" s="251">
        <v>3500</v>
      </c>
      <c r="M20" s="155">
        <v>0</v>
      </c>
      <c r="N20" s="481">
        <f t="shared" si="6"/>
        <v>3500</v>
      </c>
      <c r="O20" s="533">
        <f t="shared" si="1"/>
        <v>100</v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5000</v>
      </c>
      <c r="J22" s="155">
        <v>5000</v>
      </c>
      <c r="K22" s="155">
        <v>233</v>
      </c>
      <c r="L22" s="251">
        <v>5000</v>
      </c>
      <c r="M22" s="155">
        <v>0</v>
      </c>
      <c r="N22" s="481">
        <f t="shared" si="6"/>
        <v>5000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2000</v>
      </c>
      <c r="J23" s="155">
        <v>2000</v>
      </c>
      <c r="K23" s="155">
        <v>0</v>
      </c>
      <c r="L23" s="251">
        <v>2000</v>
      </c>
      <c r="M23" s="155">
        <v>0</v>
      </c>
      <c r="N23" s="481">
        <f t="shared" si="6"/>
        <v>2000</v>
      </c>
      <c r="O23" s="533">
        <f t="shared" si="1"/>
        <v>100</v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48000</v>
      </c>
      <c r="J24" s="155">
        <v>48000</v>
      </c>
      <c r="K24" s="155">
        <v>21282</v>
      </c>
      <c r="L24" s="251">
        <v>52000</v>
      </c>
      <c r="M24" s="155">
        <v>0</v>
      </c>
      <c r="N24" s="481">
        <f t="shared" si="6"/>
        <v>52000</v>
      </c>
      <c r="O24" s="533">
        <f t="shared" si="1"/>
        <v>108.33333333333333</v>
      </c>
    </row>
    <row r="25" spans="2:15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I27+I28</f>
        <v>32000</v>
      </c>
      <c r="J26" s="154">
        <f t="shared" si="7"/>
        <v>32000</v>
      </c>
      <c r="K26" s="154">
        <f t="shared" si="7"/>
        <v>280</v>
      </c>
      <c r="L26" s="320">
        <f t="shared" ref="L26:N26" si="8">L27+L28</f>
        <v>32000</v>
      </c>
      <c r="M26" s="154">
        <f t="shared" si="8"/>
        <v>0</v>
      </c>
      <c r="N26" s="455">
        <f t="shared" si="8"/>
        <v>32000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7000</v>
      </c>
      <c r="J27" s="155">
        <v>7000</v>
      </c>
      <c r="K27" s="155">
        <v>0</v>
      </c>
      <c r="L27" s="251">
        <v>2000</v>
      </c>
      <c r="M27" s="155">
        <v>0</v>
      </c>
      <c r="N27" s="481">
        <f t="shared" ref="N27:N28" si="9">SUM(L27:M27)</f>
        <v>2000</v>
      </c>
      <c r="O27" s="533">
        <f t="shared" si="1"/>
        <v>28.571428571428569</v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25000</v>
      </c>
      <c r="J28" s="155">
        <v>25000</v>
      </c>
      <c r="K28" s="155">
        <v>280</v>
      </c>
      <c r="L28" s="251">
        <v>30000</v>
      </c>
      <c r="M28" s="155">
        <v>0</v>
      </c>
      <c r="N28" s="481">
        <f t="shared" si="9"/>
        <v>30000</v>
      </c>
      <c r="O28" s="533">
        <f t="shared" si="1"/>
        <v>120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266" t="s">
        <v>727</v>
      </c>
      <c r="J30" s="266" t="s">
        <v>727</v>
      </c>
      <c r="K30" s="266" t="s">
        <v>728</v>
      </c>
      <c r="L30" s="322" t="s">
        <v>729</v>
      </c>
      <c r="M30" s="266"/>
      <c r="N30" s="450" t="s">
        <v>729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804970</v>
      </c>
      <c r="J31" s="14">
        <f t="shared" si="10"/>
        <v>804970</v>
      </c>
      <c r="K31" s="14">
        <f t="shared" si="10"/>
        <v>380936</v>
      </c>
      <c r="L31" s="259">
        <f t="shared" si="10"/>
        <v>856920</v>
      </c>
      <c r="M31" s="14">
        <f t="shared" si="10"/>
        <v>0</v>
      </c>
      <c r="N31" s="455">
        <f t="shared" si="10"/>
        <v>856920</v>
      </c>
      <c r="O31" s="532">
        <f>IF(J31=0,"",N31/J31*100)</f>
        <v>106.45365665801209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256">
        <f t="shared" ref="I32:J32" si="11">I31</f>
        <v>804970</v>
      </c>
      <c r="J32" s="14">
        <f t="shared" si="11"/>
        <v>804970</v>
      </c>
      <c r="K32" s="14">
        <f t="shared" ref="K32" si="12">K31</f>
        <v>380936</v>
      </c>
      <c r="L32" s="259">
        <f t="shared" ref="L32:N33" si="13">L31</f>
        <v>856920</v>
      </c>
      <c r="M32" s="14">
        <f t="shared" si="13"/>
        <v>0</v>
      </c>
      <c r="N32" s="455">
        <f t="shared" si="13"/>
        <v>856920</v>
      </c>
      <c r="O32" s="532">
        <f>IF(J32=0,"",N32/J32*100)</f>
        <v>106.45365665801209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>
        <f t="shared" ref="I33:J33" si="14">I32</f>
        <v>804970</v>
      </c>
      <c r="J33" s="14">
        <f t="shared" si="14"/>
        <v>804970</v>
      </c>
      <c r="K33" s="14">
        <f t="shared" ref="K33" si="15">K32</f>
        <v>380936</v>
      </c>
      <c r="L33" s="259">
        <f t="shared" si="13"/>
        <v>856920</v>
      </c>
      <c r="M33" s="14">
        <f t="shared" si="13"/>
        <v>0</v>
      </c>
      <c r="N33" s="455">
        <f t="shared" si="13"/>
        <v>856920</v>
      </c>
      <c r="O33" s="532">
        <f>IF(J33=0,"",N33/J33*100)</f>
        <v>106.45365665801209</v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4"/>
  <dimension ref="B1:O94"/>
  <sheetViews>
    <sheetView topLeftCell="F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45" customWidth="1"/>
    <col min="14" max="14" width="15.7109375" style="45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730</v>
      </c>
      <c r="C2" s="639"/>
      <c r="D2" s="639"/>
      <c r="E2" s="639"/>
      <c r="F2" s="639"/>
      <c r="G2" s="639"/>
      <c r="H2" s="639"/>
      <c r="I2" s="639"/>
      <c r="J2" s="666"/>
      <c r="K2" s="666"/>
      <c r="L2" s="666"/>
      <c r="M2" s="666"/>
      <c r="N2" s="666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731</v>
      </c>
      <c r="C7" s="7" t="s">
        <v>554</v>
      </c>
      <c r="D7" s="7" t="s">
        <v>555</v>
      </c>
      <c r="E7" s="285" t="s">
        <v>614</v>
      </c>
      <c r="F7" s="5"/>
      <c r="G7" s="5"/>
      <c r="H7" s="5"/>
      <c r="I7" s="267"/>
      <c r="J7" s="56"/>
      <c r="K7" s="56"/>
      <c r="L7" s="268"/>
      <c r="M7" s="56"/>
      <c r="N7" s="491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4">
        <f t="shared" ref="I8:K8" si="0">SUM(I9:I10)</f>
        <v>525100</v>
      </c>
      <c r="J8" s="154">
        <f t="shared" si="0"/>
        <v>525100</v>
      </c>
      <c r="K8" s="154">
        <f t="shared" si="0"/>
        <v>259682</v>
      </c>
      <c r="L8" s="320">
        <f>SUM(L9:L10)</f>
        <v>545630</v>
      </c>
      <c r="M8" s="154">
        <f>SUM(M9:M10)</f>
        <v>0</v>
      </c>
      <c r="N8" s="480">
        <f>SUM(N9:N10)</f>
        <v>545630</v>
      </c>
      <c r="O8" s="532">
        <f t="shared" ref="O8:O29" si="1">IF(J8=0,"",N8/J8*100)</f>
        <v>103.90973147971816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5">
        <v>459350</v>
      </c>
      <c r="J9" s="155">
        <v>459350</v>
      </c>
      <c r="K9" s="155">
        <v>227064</v>
      </c>
      <c r="L9" s="251">
        <f>469150+800</f>
        <v>469950</v>
      </c>
      <c r="M9" s="155">
        <v>0</v>
      </c>
      <c r="N9" s="481">
        <f>SUM(L9:M9)</f>
        <v>469950</v>
      </c>
      <c r="O9" s="533">
        <f t="shared" si="1"/>
        <v>102.30760857733753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5">
        <v>65750</v>
      </c>
      <c r="J10" s="155">
        <v>65750</v>
      </c>
      <c r="K10" s="155">
        <v>32618</v>
      </c>
      <c r="L10" s="251">
        <f>69980+500+13*400</f>
        <v>75680</v>
      </c>
      <c r="M10" s="155">
        <v>0</v>
      </c>
      <c r="N10" s="481">
        <f t="shared" ref="N10" si="2">SUM(L10:M10)</f>
        <v>75680</v>
      </c>
      <c r="O10" s="533">
        <f t="shared" si="1"/>
        <v>115.10266159695817</v>
      </c>
    </row>
    <row r="11" spans="2:15" ht="12.95" customHeight="1" x14ac:dyDescent="0.25">
      <c r="B11" s="10"/>
      <c r="C11" s="11"/>
      <c r="D11" s="11"/>
      <c r="E11" s="11"/>
      <c r="F11" s="119"/>
      <c r="G11" s="134"/>
      <c r="H11" s="22"/>
      <c r="I11" s="154"/>
      <c r="J11" s="154"/>
      <c r="K11" s="154"/>
      <c r="L11" s="320"/>
      <c r="M11" s="154"/>
      <c r="N11" s="480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4">
        <f t="shared" ref="I12:K12" si="3">I13</f>
        <v>48700</v>
      </c>
      <c r="J12" s="154">
        <f t="shared" si="3"/>
        <v>48700</v>
      </c>
      <c r="K12" s="154">
        <f t="shared" si="3"/>
        <v>24325</v>
      </c>
      <c r="L12" s="320">
        <f t="shared" ref="L12:N12" si="4">L13</f>
        <v>50240</v>
      </c>
      <c r="M12" s="154">
        <f t="shared" si="4"/>
        <v>0</v>
      </c>
      <c r="N12" s="480">
        <f t="shared" si="4"/>
        <v>50240</v>
      </c>
      <c r="O12" s="532">
        <f t="shared" si="1"/>
        <v>103.16221765913758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5">
        <v>48700</v>
      </c>
      <c r="J13" s="155">
        <v>48700</v>
      </c>
      <c r="K13" s="155">
        <v>24325</v>
      </c>
      <c r="L13" s="251">
        <f>50120+120</f>
        <v>50240</v>
      </c>
      <c r="M13" s="155">
        <v>0</v>
      </c>
      <c r="N13" s="481">
        <f>SUM(L13:M13)</f>
        <v>50240</v>
      </c>
      <c r="O13" s="533">
        <f t="shared" si="1"/>
        <v>103.16221765913758</v>
      </c>
    </row>
    <row r="14" spans="2:15" ht="12.95" customHeight="1" x14ac:dyDescent="0.2">
      <c r="B14" s="10"/>
      <c r="C14" s="11"/>
      <c r="D14" s="11"/>
      <c r="E14" s="11"/>
      <c r="F14" s="119"/>
      <c r="G14" s="134"/>
      <c r="H14" s="22"/>
      <c r="I14" s="155"/>
      <c r="J14" s="155"/>
      <c r="K14" s="155"/>
      <c r="L14" s="251"/>
      <c r="M14" s="155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6">
        <f t="shared" ref="I15:K15" si="5">SUM(I16:I24)</f>
        <v>31000</v>
      </c>
      <c r="J15" s="156">
        <f t="shared" si="5"/>
        <v>31000</v>
      </c>
      <c r="K15" s="156">
        <f t="shared" si="5"/>
        <v>13754</v>
      </c>
      <c r="L15" s="321">
        <f>SUM(L16:L24)</f>
        <v>30900</v>
      </c>
      <c r="M15" s="156">
        <f>SUM(M16:M24)</f>
        <v>0</v>
      </c>
      <c r="N15" s="455">
        <f>SUM(N16:N24)</f>
        <v>30900</v>
      </c>
      <c r="O15" s="532">
        <f t="shared" si="1"/>
        <v>99.677419354838719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5">
        <v>1000</v>
      </c>
      <c r="J16" s="155">
        <v>1000</v>
      </c>
      <c r="K16" s="155">
        <v>600</v>
      </c>
      <c r="L16" s="251">
        <v>1000</v>
      </c>
      <c r="M16" s="155">
        <v>0</v>
      </c>
      <c r="N16" s="481">
        <f t="shared" ref="N16:N24" si="6">SUM(L16:M16)</f>
        <v>1000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5">
        <v>7000</v>
      </c>
      <c r="J17" s="155">
        <v>7000</v>
      </c>
      <c r="K17" s="155">
        <v>2506</v>
      </c>
      <c r="L17" s="251">
        <v>6500</v>
      </c>
      <c r="M17" s="155">
        <v>0</v>
      </c>
      <c r="N17" s="481">
        <f t="shared" si="6"/>
        <v>6500</v>
      </c>
      <c r="O17" s="533">
        <f t="shared" si="1"/>
        <v>92.857142857142861</v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5">
        <v>6000</v>
      </c>
      <c r="J18" s="155">
        <v>6000</v>
      </c>
      <c r="K18" s="155">
        <v>2323</v>
      </c>
      <c r="L18" s="251">
        <v>6000</v>
      </c>
      <c r="M18" s="155">
        <v>0</v>
      </c>
      <c r="N18" s="481">
        <f t="shared" si="6"/>
        <v>6000</v>
      </c>
      <c r="O18" s="533">
        <f t="shared" si="1"/>
        <v>100</v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5">
        <v>700</v>
      </c>
      <c r="J19" s="155">
        <v>700</v>
      </c>
      <c r="K19" s="155">
        <v>266</v>
      </c>
      <c r="L19" s="251">
        <v>700</v>
      </c>
      <c r="M19" s="155">
        <v>0</v>
      </c>
      <c r="N19" s="481">
        <f t="shared" si="6"/>
        <v>700</v>
      </c>
      <c r="O19" s="533">
        <f t="shared" si="1"/>
        <v>100</v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5">
        <v>7000</v>
      </c>
      <c r="J20" s="155">
        <v>7000</v>
      </c>
      <c r="K20" s="155">
        <v>3401</v>
      </c>
      <c r="L20" s="251">
        <v>7000</v>
      </c>
      <c r="M20" s="155">
        <v>0</v>
      </c>
      <c r="N20" s="481">
        <f t="shared" si="6"/>
        <v>7000</v>
      </c>
      <c r="O20" s="533">
        <f t="shared" si="1"/>
        <v>100</v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5">
        <v>0</v>
      </c>
      <c r="J21" s="155">
        <v>0</v>
      </c>
      <c r="K21" s="155">
        <v>0</v>
      </c>
      <c r="L21" s="251">
        <v>0</v>
      </c>
      <c r="M21" s="155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5">
        <v>4000</v>
      </c>
      <c r="J22" s="155">
        <v>3700</v>
      </c>
      <c r="K22" s="155">
        <v>1252</v>
      </c>
      <c r="L22" s="251">
        <v>3700</v>
      </c>
      <c r="M22" s="155">
        <v>0</v>
      </c>
      <c r="N22" s="481">
        <f t="shared" si="6"/>
        <v>3700</v>
      </c>
      <c r="O22" s="533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5">
        <v>1800</v>
      </c>
      <c r="J23" s="155">
        <v>2100</v>
      </c>
      <c r="K23" s="155">
        <v>1877</v>
      </c>
      <c r="L23" s="251">
        <v>1900</v>
      </c>
      <c r="M23" s="155">
        <v>0</v>
      </c>
      <c r="N23" s="481">
        <f t="shared" si="6"/>
        <v>1900</v>
      </c>
      <c r="O23" s="533">
        <f t="shared" si="1"/>
        <v>90.476190476190482</v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5">
        <v>3500</v>
      </c>
      <c r="J24" s="155">
        <v>3500</v>
      </c>
      <c r="K24" s="155">
        <v>1529</v>
      </c>
      <c r="L24" s="251">
        <v>4100</v>
      </c>
      <c r="M24" s="155">
        <v>0</v>
      </c>
      <c r="N24" s="481">
        <f t="shared" si="6"/>
        <v>4100</v>
      </c>
      <c r="O24" s="533">
        <f t="shared" si="1"/>
        <v>117.14285714285715</v>
      </c>
    </row>
    <row r="25" spans="2:15" s="1" customFormat="1" ht="12.95" customHeight="1" x14ac:dyDescent="0.2">
      <c r="B25" s="12"/>
      <c r="C25" s="8"/>
      <c r="D25" s="8"/>
      <c r="E25" s="8"/>
      <c r="F25" s="118"/>
      <c r="G25" s="133"/>
      <c r="H25" s="23"/>
      <c r="I25" s="155"/>
      <c r="J25" s="155"/>
      <c r="K25" s="155"/>
      <c r="L25" s="251"/>
      <c r="M25" s="155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4">
        <f t="shared" ref="I26:K26" si="7">SUM(I27:I28)</f>
        <v>3000</v>
      </c>
      <c r="J26" s="154">
        <f t="shared" si="7"/>
        <v>3000</v>
      </c>
      <c r="K26" s="154">
        <f t="shared" si="7"/>
        <v>0</v>
      </c>
      <c r="L26" s="320">
        <f t="shared" ref="L26:N26" si="8">SUM(L27:L28)</f>
        <v>3000</v>
      </c>
      <c r="M26" s="154">
        <f t="shared" si="8"/>
        <v>0</v>
      </c>
      <c r="N26" s="455">
        <f t="shared" si="8"/>
        <v>3000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5">
        <v>0</v>
      </c>
      <c r="J27" s="155">
        <v>0</v>
      </c>
      <c r="K27" s="155">
        <v>0</v>
      </c>
      <c r="L27" s="251">
        <v>0</v>
      </c>
      <c r="M27" s="155">
        <v>0</v>
      </c>
      <c r="N27" s="481">
        <f t="shared" ref="N27:N28" si="9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5">
        <v>3000</v>
      </c>
      <c r="J28" s="155">
        <v>3000</v>
      </c>
      <c r="K28" s="155">
        <v>0</v>
      </c>
      <c r="L28" s="251">
        <v>3000</v>
      </c>
      <c r="M28" s="155">
        <v>0</v>
      </c>
      <c r="N28" s="481">
        <f t="shared" si="9"/>
        <v>3000</v>
      </c>
      <c r="O28" s="533">
        <f t="shared" si="1"/>
        <v>100</v>
      </c>
    </row>
    <row r="29" spans="2:15" ht="12.95" customHeight="1" x14ac:dyDescent="0.2">
      <c r="B29" s="10"/>
      <c r="C29" s="11"/>
      <c r="D29" s="11"/>
      <c r="E29" s="11"/>
      <c r="F29" s="119"/>
      <c r="G29" s="134"/>
      <c r="H29" s="22"/>
      <c r="I29" s="155"/>
      <c r="J29" s="155"/>
      <c r="K29" s="155"/>
      <c r="L29" s="251"/>
      <c r="M29" s="155"/>
      <c r="N29" s="457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154">
        <v>13</v>
      </c>
      <c r="J30" s="154">
        <v>13</v>
      </c>
      <c r="K30" s="154">
        <v>13</v>
      </c>
      <c r="L30" s="320">
        <v>13</v>
      </c>
      <c r="M30" s="154"/>
      <c r="N30" s="455">
        <v>13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8" t="s">
        <v>557</v>
      </c>
      <c r="I31" s="256">
        <f t="shared" ref="I31:N31" si="10">I8+I12+I15+I26</f>
        <v>607800</v>
      </c>
      <c r="J31" s="14">
        <f t="shared" si="10"/>
        <v>607800</v>
      </c>
      <c r="K31" s="14">
        <f t="shared" si="10"/>
        <v>297761</v>
      </c>
      <c r="L31" s="259">
        <f t="shared" si="10"/>
        <v>629770</v>
      </c>
      <c r="M31" s="14">
        <f t="shared" si="10"/>
        <v>0</v>
      </c>
      <c r="N31" s="455">
        <f t="shared" si="10"/>
        <v>629770</v>
      </c>
      <c r="O31" s="532">
        <f>IF(J31=0,"",N31/J31*100)</f>
        <v>103.61467588022376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14">
        <f t="shared" ref="I32:J32" si="11">I31</f>
        <v>607800</v>
      </c>
      <c r="J32" s="14">
        <f t="shared" si="11"/>
        <v>607800</v>
      </c>
      <c r="K32" s="14">
        <f t="shared" ref="K32" si="12">K31</f>
        <v>297761</v>
      </c>
      <c r="L32" s="259">
        <f t="shared" ref="L32:N33" si="13">L31</f>
        <v>629770</v>
      </c>
      <c r="M32" s="14">
        <f t="shared" si="13"/>
        <v>0</v>
      </c>
      <c r="N32" s="455">
        <f t="shared" si="13"/>
        <v>629770</v>
      </c>
      <c r="O32" s="532">
        <f>IF(J32=0,"",N32/J32*100)</f>
        <v>103.61467588022376</v>
      </c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559</v>
      </c>
      <c r="I33" s="14">
        <f t="shared" ref="I33:J33" si="14">I32</f>
        <v>607800</v>
      </c>
      <c r="J33" s="14">
        <f t="shared" si="14"/>
        <v>607800</v>
      </c>
      <c r="K33" s="14">
        <f t="shared" ref="K33" si="15">K32</f>
        <v>297761</v>
      </c>
      <c r="L33" s="259">
        <f t="shared" si="13"/>
        <v>629770</v>
      </c>
      <c r="M33" s="14">
        <f t="shared" si="13"/>
        <v>0</v>
      </c>
      <c r="N33" s="455">
        <f t="shared" si="13"/>
        <v>629770</v>
      </c>
      <c r="O33" s="532">
        <f>IF(J33=0,"",N33/J33*100)</f>
        <v>103.61467588022376</v>
      </c>
    </row>
    <row r="34" spans="2:15" ht="12.95" customHeight="1" thickBot="1" x14ac:dyDescent="0.25">
      <c r="B34" s="15"/>
      <c r="C34" s="16"/>
      <c r="D34" s="16"/>
      <c r="E34" s="16"/>
      <c r="F34" s="120"/>
      <c r="G34" s="135"/>
      <c r="H34" s="16"/>
      <c r="I34" s="29"/>
      <c r="J34" s="29"/>
      <c r="K34" s="29"/>
      <c r="L34" s="260"/>
      <c r="M34" s="29"/>
      <c r="N34" s="482"/>
      <c r="O34" s="534"/>
    </row>
    <row r="35" spans="2:15" ht="12.95" customHeight="1" x14ac:dyDescent="0.2">
      <c r="F35" s="121"/>
      <c r="G35" s="136"/>
      <c r="N35" s="163"/>
    </row>
    <row r="36" spans="2:15" ht="12.95" customHeight="1" x14ac:dyDescent="0.2">
      <c r="F36" s="121"/>
      <c r="G36" s="136"/>
      <c r="N36" s="163"/>
    </row>
    <row r="37" spans="2:15" ht="12.95" customHeight="1" x14ac:dyDescent="0.2">
      <c r="F37" s="121"/>
      <c r="G37" s="136"/>
      <c r="N37" s="163"/>
    </row>
    <row r="38" spans="2:15" ht="12.95" customHeight="1" x14ac:dyDescent="0.2">
      <c r="F38" s="121"/>
      <c r="G38" s="136"/>
      <c r="N38" s="163"/>
    </row>
    <row r="39" spans="2:15" ht="12.95" customHeight="1" x14ac:dyDescent="0.2">
      <c r="F39" s="121"/>
      <c r="G39" s="136"/>
      <c r="N39" s="163"/>
    </row>
    <row r="40" spans="2:15" ht="12.95" customHeight="1" x14ac:dyDescent="0.2">
      <c r="F40" s="121"/>
      <c r="G40" s="136"/>
      <c r="N40" s="163"/>
    </row>
    <row r="41" spans="2:15" ht="12.95" customHeight="1" x14ac:dyDescent="0.2">
      <c r="F41" s="121"/>
      <c r="G41" s="136"/>
      <c r="N41" s="163"/>
    </row>
    <row r="42" spans="2:15" ht="12.95" customHeight="1" x14ac:dyDescent="0.2">
      <c r="F42" s="121"/>
      <c r="G42" s="136"/>
      <c r="N42" s="163"/>
    </row>
    <row r="43" spans="2:15" ht="12.95" customHeight="1" x14ac:dyDescent="0.2">
      <c r="F43" s="121"/>
      <c r="G43" s="136"/>
      <c r="N43" s="163"/>
    </row>
    <row r="44" spans="2:15" ht="12.95" customHeight="1" x14ac:dyDescent="0.2">
      <c r="F44" s="121"/>
      <c r="G44" s="136"/>
      <c r="N44" s="163"/>
    </row>
    <row r="45" spans="2:15" ht="12.95" customHeight="1" x14ac:dyDescent="0.2">
      <c r="F45" s="121"/>
      <c r="G45" s="136"/>
      <c r="N45" s="163"/>
    </row>
    <row r="46" spans="2:15" ht="12.95" customHeight="1" x14ac:dyDescent="0.2">
      <c r="F46" s="121"/>
      <c r="G46" s="136"/>
      <c r="N46" s="163"/>
    </row>
    <row r="47" spans="2:15" ht="12.95" customHeight="1" x14ac:dyDescent="0.2">
      <c r="F47" s="121"/>
      <c r="G47" s="136"/>
      <c r="N47" s="163"/>
    </row>
    <row r="48" spans="2:15" ht="12.95" customHeight="1" x14ac:dyDescent="0.2">
      <c r="F48" s="121"/>
      <c r="G48" s="136"/>
      <c r="N48" s="163"/>
    </row>
    <row r="49" spans="6:14" ht="12.95" customHeight="1" x14ac:dyDescent="0.2">
      <c r="F49" s="121"/>
      <c r="G49" s="136"/>
      <c r="N49" s="163"/>
    </row>
    <row r="50" spans="6:14" ht="12.95" customHeight="1" x14ac:dyDescent="0.2">
      <c r="F50" s="121"/>
      <c r="G50" s="136"/>
      <c r="N50" s="163"/>
    </row>
    <row r="51" spans="6:14" ht="12.95" customHeight="1" x14ac:dyDescent="0.2">
      <c r="F51" s="121"/>
      <c r="G51" s="136"/>
      <c r="N51" s="163"/>
    </row>
    <row r="52" spans="6:14" ht="12.95" customHeight="1" x14ac:dyDescent="0.2">
      <c r="F52" s="121"/>
      <c r="G52" s="136"/>
      <c r="N52" s="163"/>
    </row>
    <row r="53" spans="6:14" ht="12.95" customHeight="1" x14ac:dyDescent="0.2">
      <c r="F53" s="121"/>
      <c r="G53" s="136"/>
      <c r="N53" s="163"/>
    </row>
    <row r="54" spans="6:14" ht="12.95" customHeight="1" x14ac:dyDescent="0.2">
      <c r="F54" s="121"/>
      <c r="G54" s="136"/>
      <c r="N54" s="163"/>
    </row>
    <row r="55" spans="6:14" ht="12.95" customHeight="1" x14ac:dyDescent="0.2">
      <c r="F55" s="121"/>
      <c r="G55" s="136"/>
      <c r="N55" s="163"/>
    </row>
    <row r="56" spans="6:14" ht="12.95" customHeight="1" x14ac:dyDescent="0.2">
      <c r="F56" s="121"/>
      <c r="G56" s="136"/>
      <c r="N56" s="163"/>
    </row>
    <row r="57" spans="6:14" ht="12.95" customHeight="1" x14ac:dyDescent="0.2">
      <c r="F57" s="121"/>
      <c r="G57" s="136"/>
      <c r="N57" s="163"/>
    </row>
    <row r="58" spans="6:14" ht="17.100000000000001" customHeight="1" x14ac:dyDescent="0.2">
      <c r="F58" s="121"/>
      <c r="G58" s="136"/>
      <c r="N58" s="163"/>
    </row>
    <row r="59" spans="6:14" ht="14.25" x14ac:dyDescent="0.2">
      <c r="F59" s="121"/>
      <c r="G59" s="136"/>
      <c r="N59" s="163"/>
    </row>
    <row r="60" spans="6:14" ht="14.25" x14ac:dyDescent="0.2">
      <c r="F60" s="121"/>
      <c r="G60" s="136"/>
      <c r="N60" s="163"/>
    </row>
    <row r="61" spans="6:14" ht="14.25" x14ac:dyDescent="0.2">
      <c r="F61" s="121"/>
      <c r="G61" s="136"/>
      <c r="N61" s="163"/>
    </row>
    <row r="62" spans="6:14" ht="14.25" x14ac:dyDescent="0.2">
      <c r="F62" s="121"/>
      <c r="G62" s="136"/>
      <c r="N62" s="163"/>
    </row>
    <row r="63" spans="6:14" ht="14.25" x14ac:dyDescent="0.2">
      <c r="F63" s="121"/>
      <c r="G63" s="136"/>
      <c r="N63" s="163"/>
    </row>
    <row r="64" spans="6:14" ht="14.25" x14ac:dyDescent="0.2">
      <c r="F64" s="121"/>
      <c r="G64" s="136"/>
      <c r="N64" s="163"/>
    </row>
    <row r="65" spans="6:14" ht="14.25" x14ac:dyDescent="0.2">
      <c r="F65" s="121"/>
      <c r="G65" s="136"/>
      <c r="N65" s="163"/>
    </row>
    <row r="66" spans="6:14" ht="14.25" x14ac:dyDescent="0.2">
      <c r="F66" s="121"/>
      <c r="G66" s="136"/>
      <c r="N66" s="163"/>
    </row>
    <row r="67" spans="6:14" ht="14.25" x14ac:dyDescent="0.2">
      <c r="F67" s="121"/>
      <c r="G67" s="136"/>
      <c r="N67" s="163"/>
    </row>
    <row r="68" spans="6:14" ht="14.25" x14ac:dyDescent="0.2">
      <c r="F68" s="121"/>
      <c r="G68" s="136"/>
      <c r="N68" s="163"/>
    </row>
    <row r="69" spans="6:14" ht="14.25" x14ac:dyDescent="0.2">
      <c r="F69" s="121"/>
      <c r="G69" s="136"/>
      <c r="N69" s="163"/>
    </row>
    <row r="70" spans="6:14" ht="14.25" x14ac:dyDescent="0.2">
      <c r="F70" s="121"/>
      <c r="G70" s="136"/>
      <c r="N70" s="163"/>
    </row>
    <row r="71" spans="6:14" ht="14.25" x14ac:dyDescent="0.2">
      <c r="F71" s="121"/>
      <c r="G71" s="136"/>
      <c r="N71" s="163"/>
    </row>
    <row r="72" spans="6:14" ht="14.25" x14ac:dyDescent="0.2">
      <c r="F72" s="121"/>
      <c r="G72" s="121"/>
      <c r="N72" s="163"/>
    </row>
    <row r="73" spans="6:14" ht="14.25" x14ac:dyDescent="0.2">
      <c r="F73" s="121"/>
      <c r="G73" s="121"/>
      <c r="N73" s="163"/>
    </row>
    <row r="74" spans="6:14" ht="14.25" x14ac:dyDescent="0.2">
      <c r="F74" s="121"/>
      <c r="G74" s="121"/>
      <c r="N74" s="163"/>
    </row>
    <row r="75" spans="6:14" ht="14.25" x14ac:dyDescent="0.2">
      <c r="F75" s="121"/>
      <c r="G75" s="121"/>
      <c r="N75" s="163"/>
    </row>
    <row r="76" spans="6:14" ht="14.25" x14ac:dyDescent="0.2">
      <c r="F76" s="121"/>
      <c r="G76" s="121"/>
      <c r="N76" s="163"/>
    </row>
    <row r="77" spans="6:14" ht="14.25" x14ac:dyDescent="0.2">
      <c r="F77" s="121"/>
      <c r="G77" s="121"/>
      <c r="N77" s="163"/>
    </row>
    <row r="78" spans="6:14" ht="14.25" x14ac:dyDescent="0.2">
      <c r="F78" s="121"/>
      <c r="G78" s="121"/>
      <c r="N78" s="163"/>
    </row>
    <row r="79" spans="6:14" ht="14.25" x14ac:dyDescent="0.2">
      <c r="F79" s="121"/>
      <c r="G79" s="121"/>
      <c r="N79" s="163"/>
    </row>
    <row r="80" spans="6:14" ht="14.25" x14ac:dyDescent="0.2">
      <c r="F80" s="121"/>
      <c r="G80" s="121"/>
      <c r="N80" s="163"/>
    </row>
    <row r="81" spans="6:14" ht="14.25" x14ac:dyDescent="0.2">
      <c r="F81" s="121"/>
      <c r="G81" s="121"/>
      <c r="N81" s="163"/>
    </row>
    <row r="82" spans="6:14" ht="14.25" x14ac:dyDescent="0.2">
      <c r="F82" s="121"/>
      <c r="G82" s="121"/>
      <c r="N82" s="163"/>
    </row>
    <row r="83" spans="6:14" ht="14.25" x14ac:dyDescent="0.2">
      <c r="F83" s="121"/>
      <c r="G83" s="121"/>
      <c r="N83" s="163"/>
    </row>
    <row r="84" spans="6:14" ht="14.25" x14ac:dyDescent="0.2">
      <c r="F84" s="121"/>
      <c r="G84" s="121"/>
      <c r="N84" s="163"/>
    </row>
    <row r="85" spans="6:14" ht="14.25" x14ac:dyDescent="0.2">
      <c r="F85" s="121"/>
      <c r="G85" s="121"/>
      <c r="N85" s="163"/>
    </row>
    <row r="86" spans="6:14" ht="14.25" x14ac:dyDescent="0.2">
      <c r="F86" s="121"/>
      <c r="G86" s="121"/>
      <c r="N86" s="163"/>
    </row>
    <row r="87" spans="6:14" ht="14.25" x14ac:dyDescent="0.2">
      <c r="F87" s="121"/>
      <c r="G87" s="121"/>
      <c r="N87" s="163"/>
    </row>
    <row r="88" spans="6:14" ht="14.25" x14ac:dyDescent="0.2">
      <c r="F88" s="121"/>
      <c r="G88" s="121"/>
      <c r="N88" s="163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List6"/>
  <dimension ref="A2:O45"/>
  <sheetViews>
    <sheetView zoomScaleNormal="100" workbookViewId="0">
      <selection activeCell="N25" sqref="N25"/>
    </sheetView>
  </sheetViews>
  <sheetFormatPr defaultRowHeight="12.75" x14ac:dyDescent="0.2"/>
  <cols>
    <col min="1" max="1" width="11.85546875" style="34" customWidth="1"/>
    <col min="2" max="2" width="82.28515625" customWidth="1"/>
    <col min="3" max="11" width="10.7109375" customWidth="1"/>
    <col min="12" max="12" width="11.42578125" style="39" customWidth="1"/>
    <col min="13" max="13" width="10.140625" bestFit="1" customWidth="1"/>
  </cols>
  <sheetData>
    <row r="2" spans="1:15" ht="15.75" x14ac:dyDescent="0.25">
      <c r="A2" s="611" t="s">
        <v>732</v>
      </c>
      <c r="B2" s="669"/>
      <c r="C2" s="669"/>
      <c r="D2" s="669"/>
      <c r="E2" s="669"/>
      <c r="F2" s="669"/>
      <c r="G2" s="669"/>
      <c r="H2" s="669"/>
      <c r="I2" s="669"/>
      <c r="J2" s="669"/>
      <c r="K2" s="669"/>
      <c r="L2" s="669"/>
    </row>
    <row r="4" spans="1:15" s="39" customFormat="1" ht="51" x14ac:dyDescent="0.2">
      <c r="A4" s="76" t="s">
        <v>733</v>
      </c>
      <c r="B4" s="77" t="s">
        <v>734</v>
      </c>
      <c r="C4" s="76" t="s">
        <v>735</v>
      </c>
      <c r="D4" s="76" t="s">
        <v>736</v>
      </c>
      <c r="E4" s="76" t="s">
        <v>737</v>
      </c>
      <c r="F4" s="76" t="s">
        <v>738</v>
      </c>
      <c r="G4" s="76" t="s">
        <v>739</v>
      </c>
      <c r="H4" s="76" t="s">
        <v>740</v>
      </c>
      <c r="I4" s="76" t="s">
        <v>741</v>
      </c>
      <c r="J4" s="76" t="s">
        <v>742</v>
      </c>
      <c r="K4" s="76" t="s">
        <v>743</v>
      </c>
      <c r="L4" s="76" t="s">
        <v>379</v>
      </c>
    </row>
    <row r="5" spans="1:15" ht="20.100000000000001" customHeight="1" x14ac:dyDescent="0.2">
      <c r="A5" s="70">
        <v>10010001</v>
      </c>
      <c r="B5" s="21" t="s">
        <v>24</v>
      </c>
      <c r="C5" s="68">
        <f>'1'!N9</f>
        <v>759990</v>
      </c>
      <c r="D5" s="68">
        <f>'1'!N10</f>
        <v>166450</v>
      </c>
      <c r="E5" s="68">
        <f>'1'!N12</f>
        <v>80000</v>
      </c>
      <c r="F5" s="68">
        <f>'1'!N15</f>
        <v>481060</v>
      </c>
      <c r="G5" s="68">
        <v>0</v>
      </c>
      <c r="H5" s="68">
        <v>0</v>
      </c>
      <c r="I5" s="21">
        <v>0</v>
      </c>
      <c r="J5" s="68">
        <f>'1'!N26</f>
        <v>10000</v>
      </c>
      <c r="K5" s="21">
        <v>0</v>
      </c>
      <c r="L5" s="69">
        <f>SUM(C5:K5)</f>
        <v>1497500</v>
      </c>
    </row>
    <row r="6" spans="1:15" ht="20.100000000000001" customHeight="1" x14ac:dyDescent="0.2">
      <c r="A6" s="70">
        <v>11010001</v>
      </c>
      <c r="B6" s="21" t="s">
        <v>28</v>
      </c>
      <c r="C6" s="68">
        <f>'2'!N14</f>
        <v>246570</v>
      </c>
      <c r="D6" s="68">
        <f>'2'!N15+'2'!N16</f>
        <v>51200</v>
      </c>
      <c r="E6" s="68">
        <f>'2'!N18</f>
        <v>25970</v>
      </c>
      <c r="F6" s="68">
        <f>'2'!N21</f>
        <v>312100</v>
      </c>
      <c r="G6" s="68">
        <f>'2'!N34</f>
        <v>575000</v>
      </c>
      <c r="H6" s="68">
        <f>'2'!N42</f>
        <v>0</v>
      </c>
      <c r="I6" s="21">
        <v>0</v>
      </c>
      <c r="J6" s="68">
        <f>'2'!N45</f>
        <v>1504620</v>
      </c>
      <c r="K6" s="21">
        <v>0</v>
      </c>
      <c r="L6" s="69">
        <f t="shared" ref="L6:L41" si="0">SUM(C6:K6)</f>
        <v>2715460</v>
      </c>
      <c r="O6" s="50"/>
    </row>
    <row r="7" spans="1:15" ht="20.100000000000001" customHeight="1" x14ac:dyDescent="0.2">
      <c r="A7" s="70">
        <v>11010003</v>
      </c>
      <c r="B7" s="21" t="s">
        <v>32</v>
      </c>
      <c r="C7" s="68">
        <f>'3'!N9</f>
        <v>70650</v>
      </c>
      <c r="D7" s="68">
        <f>'3'!N10</f>
        <v>18260</v>
      </c>
      <c r="E7" s="68">
        <f>'3'!N12</f>
        <v>7730</v>
      </c>
      <c r="F7" s="68">
        <f>'3'!N15</f>
        <v>1030</v>
      </c>
      <c r="G7" s="21">
        <v>0</v>
      </c>
      <c r="H7" s="21">
        <v>0</v>
      </c>
      <c r="I7" s="21">
        <v>0</v>
      </c>
      <c r="J7" s="68">
        <f>'3'!N26</f>
        <v>1000</v>
      </c>
      <c r="K7" s="21">
        <v>0</v>
      </c>
      <c r="L7" s="69">
        <f t="shared" si="0"/>
        <v>98670</v>
      </c>
    </row>
    <row r="8" spans="1:15" ht="20.100000000000001" customHeight="1" x14ac:dyDescent="0.2">
      <c r="A8" s="70">
        <v>11010004</v>
      </c>
      <c r="B8" s="21" t="s">
        <v>36</v>
      </c>
      <c r="C8" s="68">
        <f>'4'!N9</f>
        <v>69300</v>
      </c>
      <c r="D8" s="68">
        <f>'4'!N10</f>
        <v>25020</v>
      </c>
      <c r="E8" s="68">
        <f>'4'!N12</f>
        <v>7570</v>
      </c>
      <c r="F8" s="68">
        <f>'4'!N15</f>
        <v>7500</v>
      </c>
      <c r="G8" s="21">
        <v>0</v>
      </c>
      <c r="H8" s="21">
        <v>0</v>
      </c>
      <c r="I8" s="21">
        <v>0</v>
      </c>
      <c r="J8" s="68">
        <f>'4'!N26</f>
        <v>2000</v>
      </c>
      <c r="K8" s="21">
        <v>0</v>
      </c>
      <c r="L8" s="69">
        <f t="shared" si="0"/>
        <v>111390</v>
      </c>
    </row>
    <row r="9" spans="1:15" ht="20.100000000000001" customHeight="1" x14ac:dyDescent="0.2">
      <c r="A9" s="70">
        <v>11010005</v>
      </c>
      <c r="B9" s="245" t="s">
        <v>744</v>
      </c>
      <c r="C9" s="68">
        <f>'5'!N9</f>
        <v>203150</v>
      </c>
      <c r="D9" s="68">
        <f>'5'!N10</f>
        <v>43250</v>
      </c>
      <c r="E9" s="68">
        <f>'5'!N12</f>
        <v>21390</v>
      </c>
      <c r="F9" s="68">
        <f>'5'!N15</f>
        <v>36000</v>
      </c>
      <c r="G9" s="21">
        <v>0</v>
      </c>
      <c r="H9" s="21">
        <v>0</v>
      </c>
      <c r="I9" s="21">
        <v>0</v>
      </c>
      <c r="J9" s="68">
        <f>'5'!N26</f>
        <v>5000</v>
      </c>
      <c r="K9" s="21">
        <v>0</v>
      </c>
      <c r="L9" s="69">
        <f t="shared" si="0"/>
        <v>308790</v>
      </c>
    </row>
    <row r="10" spans="1:15" ht="20.100000000000001" customHeight="1" x14ac:dyDescent="0.2">
      <c r="A10" s="70">
        <v>11010006</v>
      </c>
      <c r="B10" s="21" t="s">
        <v>745</v>
      </c>
      <c r="C10" s="68">
        <f>'6'!N9</f>
        <v>125350</v>
      </c>
      <c r="D10" s="68">
        <f>'6'!N10</f>
        <v>32400</v>
      </c>
      <c r="E10" s="68">
        <f>'6'!N12</f>
        <v>13190</v>
      </c>
      <c r="F10" s="68">
        <f>'6'!N15</f>
        <v>6500</v>
      </c>
      <c r="G10" s="68">
        <f>'6'!N26</f>
        <v>300000</v>
      </c>
      <c r="H10" s="21">
        <v>0</v>
      </c>
      <c r="I10" s="21">
        <v>0</v>
      </c>
      <c r="J10" s="68">
        <f>'6'!N29</f>
        <v>2000</v>
      </c>
      <c r="K10" s="21">
        <v>0</v>
      </c>
      <c r="L10" s="69">
        <f t="shared" ref="L10" si="1">SUM(C10:K10)</f>
        <v>479440</v>
      </c>
    </row>
    <row r="11" spans="1:15" ht="20.100000000000001" customHeight="1" x14ac:dyDescent="0.2">
      <c r="A11" s="70">
        <v>12010001</v>
      </c>
      <c r="B11" s="21" t="s">
        <v>48</v>
      </c>
      <c r="C11" s="68">
        <f>'7'!N9</f>
        <v>435000</v>
      </c>
      <c r="D11" s="68">
        <f>'7'!N10</f>
        <v>120650</v>
      </c>
      <c r="E11" s="68">
        <f>'7'!N12</f>
        <v>47890</v>
      </c>
      <c r="F11" s="68">
        <f>'7'!N15</f>
        <v>442000</v>
      </c>
      <c r="G11" s="21">
        <v>0</v>
      </c>
      <c r="H11" s="21">
        <v>0</v>
      </c>
      <c r="I11" s="21">
        <v>0</v>
      </c>
      <c r="J11" s="68">
        <f>'7'!N26</f>
        <v>21000</v>
      </c>
      <c r="K11" s="21">
        <v>0</v>
      </c>
      <c r="L11" s="69">
        <f t="shared" si="0"/>
        <v>1066540</v>
      </c>
    </row>
    <row r="12" spans="1:15" ht="20.100000000000001" customHeight="1" x14ac:dyDescent="0.2">
      <c r="A12" s="70">
        <v>13010001</v>
      </c>
      <c r="B12" s="21" t="s">
        <v>52</v>
      </c>
      <c r="C12" s="68">
        <f>'8'!N9</f>
        <v>7140900</v>
      </c>
      <c r="D12" s="68">
        <f>'8'!N10</f>
        <v>1560670</v>
      </c>
      <c r="E12" s="68">
        <f>'8'!N12</f>
        <v>1163440</v>
      </c>
      <c r="F12" s="68">
        <f>'8'!N17</f>
        <v>852700</v>
      </c>
      <c r="G12" s="21">
        <v>0</v>
      </c>
      <c r="H12" s="21">
        <v>0</v>
      </c>
      <c r="I12" s="21">
        <v>0</v>
      </c>
      <c r="J12" s="68">
        <f>'8'!N28</f>
        <v>210000</v>
      </c>
      <c r="K12" s="21">
        <v>0</v>
      </c>
      <c r="L12" s="69">
        <f t="shared" si="0"/>
        <v>10927710</v>
      </c>
    </row>
    <row r="13" spans="1:15" ht="20.100000000000001" customHeight="1" x14ac:dyDescent="0.2">
      <c r="A13" s="70">
        <v>14010001</v>
      </c>
      <c r="B13" s="21" t="s">
        <v>56</v>
      </c>
      <c r="C13" s="68">
        <f>'9'!N9</f>
        <v>226300</v>
      </c>
      <c r="D13" s="68">
        <f>'9'!N10</f>
        <v>47760</v>
      </c>
      <c r="E13" s="68">
        <f>'9'!N12</f>
        <v>23790</v>
      </c>
      <c r="F13" s="68">
        <f>'9'!N15</f>
        <v>204800</v>
      </c>
      <c r="G13" s="21">
        <v>0</v>
      </c>
      <c r="H13" s="21">
        <v>0</v>
      </c>
      <c r="I13" s="21">
        <v>0</v>
      </c>
      <c r="J13" s="68">
        <f>'9'!N28</f>
        <v>5000</v>
      </c>
      <c r="K13" s="21">
        <v>0</v>
      </c>
      <c r="L13" s="69">
        <f t="shared" si="0"/>
        <v>507650</v>
      </c>
    </row>
    <row r="14" spans="1:15" ht="20.100000000000001" customHeight="1" x14ac:dyDescent="0.2">
      <c r="A14" s="70">
        <v>14020003</v>
      </c>
      <c r="B14" s="21" t="s">
        <v>746</v>
      </c>
      <c r="C14" s="68">
        <f>'10'!N9</f>
        <v>1356500</v>
      </c>
      <c r="D14" s="68">
        <f>'10'!N10</f>
        <v>268500</v>
      </c>
      <c r="E14" s="68">
        <f>'10'!N12</f>
        <v>143400</v>
      </c>
      <c r="F14" s="68">
        <f>'10'!N15</f>
        <v>281000</v>
      </c>
      <c r="G14" s="21">
        <v>0</v>
      </c>
      <c r="H14" s="21">
        <v>0</v>
      </c>
      <c r="I14" s="21">
        <v>0</v>
      </c>
      <c r="J14" s="68">
        <f>'10'!N27</f>
        <v>37000</v>
      </c>
      <c r="K14" s="21">
        <v>0</v>
      </c>
      <c r="L14" s="69">
        <f t="shared" si="0"/>
        <v>2086400</v>
      </c>
    </row>
    <row r="15" spans="1:15" ht="20.100000000000001" customHeight="1" x14ac:dyDescent="0.2">
      <c r="A15" s="70">
        <v>14050001</v>
      </c>
      <c r="B15" s="21" t="s">
        <v>747</v>
      </c>
      <c r="C15" s="68">
        <f>'11'!N9</f>
        <v>45560</v>
      </c>
      <c r="D15" s="68">
        <f>'11'!N10</f>
        <v>5500</v>
      </c>
      <c r="E15" s="68">
        <f>'11'!N12</f>
        <v>4830</v>
      </c>
      <c r="F15" s="68">
        <f>'11'!N15</f>
        <v>3000</v>
      </c>
      <c r="G15" s="21">
        <v>0</v>
      </c>
      <c r="H15" s="21">
        <v>0</v>
      </c>
      <c r="I15" s="21">
        <v>0</v>
      </c>
      <c r="J15" s="68">
        <f>'11'!N26</f>
        <v>1000</v>
      </c>
      <c r="K15" s="21">
        <v>0</v>
      </c>
      <c r="L15" s="69">
        <f t="shared" si="0"/>
        <v>59890</v>
      </c>
    </row>
    <row r="16" spans="1:15" ht="20.100000000000001" customHeight="1" x14ac:dyDescent="0.2">
      <c r="A16" s="70">
        <v>14050002</v>
      </c>
      <c r="B16" s="21" t="s">
        <v>748</v>
      </c>
      <c r="C16" s="68">
        <f>'12'!N9</f>
        <v>93250</v>
      </c>
      <c r="D16" s="68">
        <f>'12'!N10</f>
        <v>17190</v>
      </c>
      <c r="E16" s="68">
        <f>'12'!N12</f>
        <v>9800</v>
      </c>
      <c r="F16" s="68">
        <f>'12'!N15</f>
        <v>5000</v>
      </c>
      <c r="G16" s="21">
        <v>0</v>
      </c>
      <c r="H16" s="21">
        <v>0</v>
      </c>
      <c r="I16" s="21">
        <v>0</v>
      </c>
      <c r="J16" s="68">
        <f>'12'!N26</f>
        <v>2000</v>
      </c>
      <c r="K16" s="21">
        <v>0</v>
      </c>
      <c r="L16" s="69">
        <f t="shared" si="0"/>
        <v>127240</v>
      </c>
    </row>
    <row r="17" spans="1:15" ht="20.100000000000001" customHeight="1" x14ac:dyDescent="0.2">
      <c r="A17" s="70">
        <v>14060001</v>
      </c>
      <c r="B17" s="21" t="s">
        <v>749</v>
      </c>
      <c r="C17" s="68">
        <f>'13'!N9</f>
        <v>97250</v>
      </c>
      <c r="D17" s="68">
        <f>'13'!N10</f>
        <v>15100</v>
      </c>
      <c r="E17" s="68">
        <f>'13'!N12</f>
        <v>10240</v>
      </c>
      <c r="F17" s="68">
        <f>'13'!N15</f>
        <v>6800</v>
      </c>
      <c r="G17" s="21">
        <v>0</v>
      </c>
      <c r="H17" s="21">
        <v>0</v>
      </c>
      <c r="I17" s="21">
        <v>0</v>
      </c>
      <c r="J17" s="68">
        <f>'13'!N26</f>
        <v>1000</v>
      </c>
      <c r="K17" s="21">
        <v>0</v>
      </c>
      <c r="L17" s="69">
        <f t="shared" si="0"/>
        <v>130390</v>
      </c>
    </row>
    <row r="18" spans="1:15" ht="20.100000000000001" customHeight="1" x14ac:dyDescent="0.2">
      <c r="A18" s="70">
        <v>14070001</v>
      </c>
      <c r="B18" s="245" t="s">
        <v>750</v>
      </c>
      <c r="C18" s="68">
        <f>'14'!L9</f>
        <v>60590</v>
      </c>
      <c r="D18" s="68">
        <f>'14'!L10</f>
        <v>14110</v>
      </c>
      <c r="E18" s="68">
        <f>'14'!L13</f>
        <v>6390</v>
      </c>
      <c r="F18" s="68">
        <f>'14'!L15</f>
        <v>5100</v>
      </c>
      <c r="G18" s="68">
        <v>0</v>
      </c>
      <c r="H18" s="21">
        <v>0</v>
      </c>
      <c r="I18" s="21">
        <v>0</v>
      </c>
      <c r="J18" s="68">
        <f>'14'!L26</f>
        <v>8000</v>
      </c>
      <c r="K18" s="21">
        <v>0</v>
      </c>
      <c r="L18" s="69">
        <f t="shared" ref="L18" si="2">SUM(C18:K18)</f>
        <v>94190</v>
      </c>
    </row>
    <row r="19" spans="1:15" ht="20.100000000000001" customHeight="1" x14ac:dyDescent="0.2">
      <c r="A19" s="70">
        <v>15010001</v>
      </c>
      <c r="B19" s="21" t="s">
        <v>751</v>
      </c>
      <c r="C19" s="68">
        <f>'15'!N9</f>
        <v>298880</v>
      </c>
      <c r="D19" s="68">
        <f>'15'!N10</f>
        <v>58710</v>
      </c>
      <c r="E19" s="68">
        <f>'15'!N12</f>
        <v>31520</v>
      </c>
      <c r="F19" s="68">
        <f>'15'!N15</f>
        <v>108650</v>
      </c>
      <c r="G19" s="68">
        <f>'15'!N27</f>
        <v>1360000</v>
      </c>
      <c r="H19" s="68">
        <f>'15'!N31</f>
        <v>1300000</v>
      </c>
      <c r="I19" s="21">
        <v>0</v>
      </c>
      <c r="J19" s="68">
        <f>'15'!N35</f>
        <v>5000</v>
      </c>
      <c r="K19" s="21">
        <v>0</v>
      </c>
      <c r="L19" s="69">
        <f t="shared" si="0"/>
        <v>3162760</v>
      </c>
    </row>
    <row r="20" spans="1:15" ht="20.100000000000001" customHeight="1" x14ac:dyDescent="0.2">
      <c r="A20" s="70">
        <v>16010001</v>
      </c>
      <c r="B20" s="21" t="s">
        <v>80</v>
      </c>
      <c r="C20" s="68">
        <f>'16'!N12</f>
        <v>533510</v>
      </c>
      <c r="D20" s="68">
        <f>'16'!N13</f>
        <v>118570</v>
      </c>
      <c r="E20" s="68">
        <f>'16'!N15</f>
        <v>55790</v>
      </c>
      <c r="F20" s="68">
        <f>'16'!N18</f>
        <v>162120</v>
      </c>
      <c r="G20" s="68">
        <f>'16'!N30</f>
        <v>1001500</v>
      </c>
      <c r="H20" s="21">
        <v>0</v>
      </c>
      <c r="I20" s="68">
        <f>'16'!N35</f>
        <v>15510</v>
      </c>
      <c r="J20" s="68">
        <f>'16'!N39</f>
        <v>15000</v>
      </c>
      <c r="K20" s="68">
        <f>'16'!N43</f>
        <v>510020</v>
      </c>
      <c r="L20" s="69">
        <f t="shared" si="0"/>
        <v>2412020</v>
      </c>
      <c r="O20" s="50"/>
    </row>
    <row r="21" spans="1:15" ht="20.100000000000001" customHeight="1" x14ac:dyDescent="0.2">
      <c r="A21" s="70">
        <v>17010001</v>
      </c>
      <c r="B21" s="21" t="s">
        <v>82</v>
      </c>
      <c r="C21" s="68">
        <f>'17'!N9</f>
        <v>357300</v>
      </c>
      <c r="D21" s="68">
        <f>'17'!N10</f>
        <v>65810</v>
      </c>
      <c r="E21" s="68">
        <f>'17'!N12</f>
        <v>37700</v>
      </c>
      <c r="F21" s="68">
        <f>'17'!N15</f>
        <v>91500</v>
      </c>
      <c r="G21" s="68">
        <f>'17'!N26</f>
        <v>5675000</v>
      </c>
      <c r="H21" s="68">
        <v>0</v>
      </c>
      <c r="I21" s="21">
        <v>0</v>
      </c>
      <c r="J21" s="68">
        <f>'17'!N32</f>
        <v>3400</v>
      </c>
      <c r="K21" s="21">
        <v>0</v>
      </c>
      <c r="L21" s="69">
        <f t="shared" si="0"/>
        <v>6230710</v>
      </c>
    </row>
    <row r="22" spans="1:15" ht="20.100000000000001" customHeight="1" x14ac:dyDescent="0.2">
      <c r="A22" s="70">
        <v>18010001</v>
      </c>
      <c r="B22" s="21" t="s">
        <v>84</v>
      </c>
      <c r="C22" s="68">
        <f>'18'!N9</f>
        <v>373250</v>
      </c>
      <c r="D22" s="68">
        <f>'18'!N10</f>
        <v>100670</v>
      </c>
      <c r="E22" s="68">
        <f>'18'!N12</f>
        <v>39660</v>
      </c>
      <c r="F22" s="68">
        <f>'18'!N15</f>
        <v>847500</v>
      </c>
      <c r="G22" s="68">
        <f>'18'!N27</f>
        <v>450000</v>
      </c>
      <c r="H22" s="21">
        <v>0</v>
      </c>
      <c r="I22" s="21">
        <v>0</v>
      </c>
      <c r="J22" s="68">
        <f>'18'!N30</f>
        <v>3615000</v>
      </c>
      <c r="K22" s="21">
        <v>0</v>
      </c>
      <c r="L22" s="69">
        <f t="shared" si="0"/>
        <v>5426080</v>
      </c>
    </row>
    <row r="23" spans="1:15" ht="20.100000000000001" customHeight="1" x14ac:dyDescent="0.2">
      <c r="A23" s="70">
        <v>19010001</v>
      </c>
      <c r="B23" s="21" t="s">
        <v>752</v>
      </c>
      <c r="C23" s="68">
        <f>'19'!N9</f>
        <v>888530</v>
      </c>
      <c r="D23" s="68">
        <f>'19'!N10</f>
        <v>190610</v>
      </c>
      <c r="E23" s="68">
        <f>'19'!N12</f>
        <v>93960</v>
      </c>
      <c r="F23" s="68">
        <f>'19'!N15</f>
        <v>97000</v>
      </c>
      <c r="G23" s="68">
        <f>'19'!N26</f>
        <v>2280000</v>
      </c>
      <c r="H23" s="68">
        <f>'19'!N32</f>
        <v>450000</v>
      </c>
      <c r="I23" s="21">
        <v>0</v>
      </c>
      <c r="J23" s="68">
        <f>'19'!N36</f>
        <v>60000</v>
      </c>
      <c r="K23" s="21">
        <v>0</v>
      </c>
      <c r="L23" s="69">
        <f t="shared" si="0"/>
        <v>4060100</v>
      </c>
    </row>
    <row r="24" spans="1:15" ht="20.100000000000001" customHeight="1" x14ac:dyDescent="0.2">
      <c r="A24" s="70">
        <v>20010001</v>
      </c>
      <c r="B24" s="21" t="s">
        <v>88</v>
      </c>
      <c r="C24" s="68">
        <f>'20'!N9</f>
        <v>486830</v>
      </c>
      <c r="D24" s="68">
        <f>'20'!N10</f>
        <v>101220</v>
      </c>
      <c r="E24" s="68">
        <f>'20'!N12</f>
        <v>50900</v>
      </c>
      <c r="F24" s="68">
        <f>'20'!N15</f>
        <v>1223800</v>
      </c>
      <c r="G24" s="68">
        <f>'20'!N30</f>
        <v>2362000</v>
      </c>
      <c r="H24" s="68">
        <v>0</v>
      </c>
      <c r="I24" s="68">
        <v>0</v>
      </c>
      <c r="J24" s="68">
        <f>'20'!N41</f>
        <v>1129280</v>
      </c>
      <c r="K24" s="68">
        <v>0</v>
      </c>
      <c r="L24" s="69">
        <f t="shared" si="0"/>
        <v>5354030</v>
      </c>
    </row>
    <row r="25" spans="1:15" ht="20.100000000000001" customHeight="1" x14ac:dyDescent="0.2">
      <c r="A25" s="70">
        <v>20020002</v>
      </c>
      <c r="B25" s="21" t="s">
        <v>753</v>
      </c>
      <c r="C25" s="68">
        <f>'21'!N9</f>
        <v>1153290</v>
      </c>
      <c r="D25" s="68">
        <f>'21'!N10</f>
        <v>300700</v>
      </c>
      <c r="E25" s="68">
        <f>'21'!N12</f>
        <v>126800</v>
      </c>
      <c r="F25" s="68">
        <f>'21'!N15</f>
        <v>181080</v>
      </c>
      <c r="G25" s="21">
        <v>0</v>
      </c>
      <c r="H25" s="21">
        <v>0</v>
      </c>
      <c r="I25" s="21">
        <v>0</v>
      </c>
      <c r="J25" s="68">
        <f>'21'!N26</f>
        <v>30000</v>
      </c>
      <c r="K25" s="21">
        <v>0</v>
      </c>
      <c r="L25" s="69">
        <f t="shared" si="0"/>
        <v>1791870</v>
      </c>
      <c r="N25" s="65"/>
    </row>
    <row r="26" spans="1:15" ht="20.100000000000001" customHeight="1" x14ac:dyDescent="0.2">
      <c r="A26" s="70">
        <v>20020003</v>
      </c>
      <c r="B26" s="21" t="s">
        <v>754</v>
      </c>
      <c r="C26" s="68">
        <f>'22'!N9</f>
        <v>1060150</v>
      </c>
      <c r="D26" s="68">
        <f>'22'!N10</f>
        <v>255150</v>
      </c>
      <c r="E26" s="68">
        <f>'22'!N12</f>
        <v>116140</v>
      </c>
      <c r="F26" s="68">
        <f>'22'!N15</f>
        <v>188400</v>
      </c>
      <c r="G26" s="21">
        <v>0</v>
      </c>
      <c r="H26" s="21">
        <v>0</v>
      </c>
      <c r="I26" s="21">
        <v>0</v>
      </c>
      <c r="J26" s="68">
        <f>'22'!N26</f>
        <v>20000</v>
      </c>
      <c r="K26" s="21">
        <v>0</v>
      </c>
      <c r="L26" s="69">
        <f t="shared" si="0"/>
        <v>1639840</v>
      </c>
    </row>
    <row r="27" spans="1:15" ht="20.100000000000001" customHeight="1" x14ac:dyDescent="0.2">
      <c r="A27" s="70">
        <v>20020004</v>
      </c>
      <c r="B27" s="21" t="s">
        <v>755</v>
      </c>
      <c r="C27" s="68">
        <f>'23'!N9</f>
        <v>979620</v>
      </c>
      <c r="D27" s="68">
        <f>'23'!N10</f>
        <v>208300</v>
      </c>
      <c r="E27" s="68">
        <f>'23'!N12</f>
        <v>105820</v>
      </c>
      <c r="F27" s="68">
        <f>'23'!N15</f>
        <v>195000</v>
      </c>
      <c r="G27" s="21">
        <v>0</v>
      </c>
      <c r="H27" s="21">
        <v>0</v>
      </c>
      <c r="I27" s="21">
        <v>0</v>
      </c>
      <c r="J27" s="68">
        <f>'23'!N26</f>
        <v>17000</v>
      </c>
      <c r="K27" s="21">
        <v>0</v>
      </c>
      <c r="L27" s="69">
        <f t="shared" si="0"/>
        <v>1505740</v>
      </c>
    </row>
    <row r="28" spans="1:15" ht="20.100000000000001" customHeight="1" x14ac:dyDescent="0.2">
      <c r="A28" s="70">
        <v>20030001</v>
      </c>
      <c r="B28" s="245" t="s">
        <v>756</v>
      </c>
      <c r="C28" s="68">
        <f>'24'!N9</f>
        <v>1447630</v>
      </c>
      <c r="D28" s="68">
        <f>'24'!N10</f>
        <v>316750</v>
      </c>
      <c r="E28" s="68">
        <f>'24'!N12</f>
        <v>154490</v>
      </c>
      <c r="F28" s="68">
        <f>'24'!N15</f>
        <v>123200</v>
      </c>
      <c r="G28" s="21">
        <v>0</v>
      </c>
      <c r="H28" s="21">
        <v>0</v>
      </c>
      <c r="I28" s="21">
        <v>0</v>
      </c>
      <c r="J28" s="68">
        <f>'24'!N26</f>
        <v>10000</v>
      </c>
      <c r="K28" s="21">
        <v>0</v>
      </c>
      <c r="L28" s="69">
        <f t="shared" si="0"/>
        <v>2052070</v>
      </c>
    </row>
    <row r="29" spans="1:15" ht="20.100000000000001" customHeight="1" x14ac:dyDescent="0.2">
      <c r="A29" s="70">
        <v>20030002</v>
      </c>
      <c r="B29" s="21" t="s">
        <v>757</v>
      </c>
      <c r="C29" s="68">
        <f>'25'!N9</f>
        <v>2852900</v>
      </c>
      <c r="D29" s="68">
        <f>'25'!N10</f>
        <v>640800</v>
      </c>
      <c r="E29" s="68">
        <f>'25'!N12</f>
        <v>303000</v>
      </c>
      <c r="F29" s="68">
        <f>'25'!N15</f>
        <v>232500</v>
      </c>
      <c r="G29" s="21">
        <v>0</v>
      </c>
      <c r="H29" s="21">
        <v>0</v>
      </c>
      <c r="I29" s="21">
        <v>0</v>
      </c>
      <c r="J29" s="68">
        <f>'25'!N26</f>
        <v>59430</v>
      </c>
      <c r="K29" s="21">
        <v>0</v>
      </c>
      <c r="L29" s="69">
        <f t="shared" si="0"/>
        <v>4088630</v>
      </c>
    </row>
    <row r="30" spans="1:15" ht="20.100000000000001" customHeight="1" x14ac:dyDescent="0.2">
      <c r="A30" s="70">
        <v>20030003</v>
      </c>
      <c r="B30" s="21" t="s">
        <v>758</v>
      </c>
      <c r="C30" s="68">
        <f>'26'!N9</f>
        <v>757850</v>
      </c>
      <c r="D30" s="68">
        <f>'26'!N10</f>
        <v>163660</v>
      </c>
      <c r="E30" s="68">
        <f>'26'!N12</f>
        <v>79940</v>
      </c>
      <c r="F30" s="68">
        <f>'26'!N15</f>
        <v>68300</v>
      </c>
      <c r="G30" s="21">
        <v>0</v>
      </c>
      <c r="H30" s="21">
        <v>0</v>
      </c>
      <c r="I30" s="21">
        <v>0</v>
      </c>
      <c r="J30" s="68">
        <f>'26'!N26</f>
        <v>65640</v>
      </c>
      <c r="K30" s="21">
        <v>0</v>
      </c>
      <c r="L30" s="69">
        <f t="shared" si="0"/>
        <v>1135390</v>
      </c>
    </row>
    <row r="31" spans="1:15" ht="20.100000000000001" customHeight="1" x14ac:dyDescent="0.2">
      <c r="A31" s="70">
        <v>20030004</v>
      </c>
      <c r="B31" s="21" t="s">
        <v>759</v>
      </c>
      <c r="C31" s="68">
        <f>'27'!N9</f>
        <v>903950</v>
      </c>
      <c r="D31" s="68">
        <f>'27'!N10</f>
        <v>181200</v>
      </c>
      <c r="E31" s="68">
        <f>'27'!N12</f>
        <v>96770</v>
      </c>
      <c r="F31" s="68">
        <f>'27'!N15</f>
        <v>89170</v>
      </c>
      <c r="G31" s="21">
        <v>0</v>
      </c>
      <c r="H31" s="21">
        <v>0</v>
      </c>
      <c r="I31" s="21">
        <v>0</v>
      </c>
      <c r="J31" s="68">
        <f>'27'!N26</f>
        <v>16020</v>
      </c>
      <c r="K31" s="21">
        <v>0</v>
      </c>
      <c r="L31" s="69">
        <f t="shared" si="0"/>
        <v>1287110</v>
      </c>
    </row>
    <row r="32" spans="1:15" ht="20.100000000000001" customHeight="1" x14ac:dyDescent="0.2">
      <c r="A32" s="70">
        <v>20030005</v>
      </c>
      <c r="B32" s="245" t="s">
        <v>760</v>
      </c>
      <c r="C32" s="68">
        <f>'28'!N9</f>
        <v>990140</v>
      </c>
      <c r="D32" s="68">
        <f>'28'!N10</f>
        <v>251190</v>
      </c>
      <c r="E32" s="68">
        <f>'28'!N12</f>
        <v>104660</v>
      </c>
      <c r="F32" s="68">
        <f>'28'!N15</f>
        <v>124300</v>
      </c>
      <c r="G32" s="21">
        <v>0</v>
      </c>
      <c r="H32" s="21">
        <v>0</v>
      </c>
      <c r="I32" s="21">
        <v>0</v>
      </c>
      <c r="J32" s="68">
        <f>'28'!N26</f>
        <v>69930</v>
      </c>
      <c r="K32" s="21">
        <v>0</v>
      </c>
      <c r="L32" s="69">
        <f t="shared" si="0"/>
        <v>1540220</v>
      </c>
    </row>
    <row r="33" spans="1:13" ht="20.100000000000001" customHeight="1" x14ac:dyDescent="0.2">
      <c r="A33" s="70">
        <v>20030006</v>
      </c>
      <c r="B33" s="21" t="s">
        <v>761</v>
      </c>
      <c r="C33" s="68">
        <f>'29'!N9</f>
        <v>415430</v>
      </c>
      <c r="D33" s="68">
        <f>'29'!N10</f>
        <v>106450</v>
      </c>
      <c r="E33" s="68">
        <f>'29'!N12</f>
        <v>45880</v>
      </c>
      <c r="F33" s="68">
        <f>'29'!N15</f>
        <v>60040</v>
      </c>
      <c r="G33" s="21">
        <v>0</v>
      </c>
      <c r="H33" s="21">
        <v>0</v>
      </c>
      <c r="I33" s="21">
        <v>0</v>
      </c>
      <c r="J33" s="68">
        <f>'29'!N26</f>
        <v>19780</v>
      </c>
      <c r="K33" s="21">
        <v>0</v>
      </c>
      <c r="L33" s="69">
        <f t="shared" si="0"/>
        <v>647580</v>
      </c>
    </row>
    <row r="34" spans="1:13" ht="20.100000000000001" customHeight="1" x14ac:dyDescent="0.2">
      <c r="A34" s="70">
        <v>20030007</v>
      </c>
      <c r="B34" s="21" t="s">
        <v>762</v>
      </c>
      <c r="C34" s="68">
        <f>'30'!N9</f>
        <v>683140</v>
      </c>
      <c r="D34" s="68">
        <f>'30'!N10</f>
        <v>165700</v>
      </c>
      <c r="E34" s="68">
        <f>'30'!N12</f>
        <v>76730</v>
      </c>
      <c r="F34" s="68">
        <f>'30'!N15</f>
        <v>74600</v>
      </c>
      <c r="G34" s="21">
        <v>0</v>
      </c>
      <c r="H34" s="21">
        <v>0</v>
      </c>
      <c r="I34" s="21">
        <v>0</v>
      </c>
      <c r="J34" s="68">
        <f>'30'!N26</f>
        <v>20000</v>
      </c>
      <c r="K34" s="21">
        <v>0</v>
      </c>
      <c r="L34" s="69">
        <f t="shared" si="0"/>
        <v>1020170</v>
      </c>
    </row>
    <row r="35" spans="1:13" ht="20.100000000000001" customHeight="1" x14ac:dyDescent="0.2">
      <c r="A35" s="70">
        <v>21010001</v>
      </c>
      <c r="B35" s="21" t="s">
        <v>30</v>
      </c>
      <c r="C35" s="68">
        <f>'31'!N9</f>
        <v>391520</v>
      </c>
      <c r="D35" s="68">
        <f>'31'!N10</f>
        <v>101850</v>
      </c>
      <c r="E35" s="68">
        <f>'31'!N12</f>
        <v>41190</v>
      </c>
      <c r="F35" s="68">
        <f>'31'!N15</f>
        <v>38000</v>
      </c>
      <c r="G35" s="68">
        <f>'31'!N26</f>
        <v>2100000</v>
      </c>
      <c r="H35" s="21">
        <v>0</v>
      </c>
      <c r="I35" s="21">
        <v>0</v>
      </c>
      <c r="J35" s="68">
        <f>'31'!N29</f>
        <v>6000</v>
      </c>
      <c r="K35" s="21">
        <v>0</v>
      </c>
      <c r="L35" s="69">
        <f t="shared" si="0"/>
        <v>2678560</v>
      </c>
    </row>
    <row r="36" spans="1:13" ht="20.100000000000001" customHeight="1" x14ac:dyDescent="0.2">
      <c r="A36" s="70">
        <v>22010001</v>
      </c>
      <c r="B36" s="21" t="s">
        <v>34</v>
      </c>
      <c r="C36" s="68">
        <f>'32'!N9</f>
        <v>138270</v>
      </c>
      <c r="D36" s="68">
        <f>'32'!N10</f>
        <v>29010</v>
      </c>
      <c r="E36" s="68">
        <f>'32'!N12</f>
        <v>14580</v>
      </c>
      <c r="F36" s="68">
        <f>'32'!N15</f>
        <v>30200</v>
      </c>
      <c r="G36" s="21">
        <v>0</v>
      </c>
      <c r="H36" s="21">
        <v>0</v>
      </c>
      <c r="I36" s="21">
        <v>0</v>
      </c>
      <c r="J36" s="68">
        <f>'32'!N26</f>
        <v>0</v>
      </c>
      <c r="K36" s="21">
        <v>0</v>
      </c>
      <c r="L36" s="69">
        <f t="shared" si="0"/>
        <v>212060</v>
      </c>
    </row>
    <row r="37" spans="1:13" ht="20.100000000000001" customHeight="1" x14ac:dyDescent="0.2">
      <c r="A37" s="70">
        <v>23010001</v>
      </c>
      <c r="B37" s="21" t="s">
        <v>38</v>
      </c>
      <c r="C37" s="68">
        <f>'33'!N9</f>
        <v>982350</v>
      </c>
      <c r="D37" s="68">
        <f>'33'!N10</f>
        <v>220700</v>
      </c>
      <c r="E37" s="68">
        <f>'33'!N12</f>
        <v>120920</v>
      </c>
      <c r="F37" s="68">
        <f>'33'!N15</f>
        <v>157300</v>
      </c>
      <c r="G37" s="68">
        <f>'33'!N26</f>
        <v>590000</v>
      </c>
      <c r="H37" s="21">
        <v>0</v>
      </c>
      <c r="I37" s="21">
        <v>0</v>
      </c>
      <c r="J37" s="68">
        <f>'33'!N30</f>
        <v>233760</v>
      </c>
      <c r="K37" s="21">
        <v>0</v>
      </c>
      <c r="L37" s="69">
        <f t="shared" si="0"/>
        <v>2305030</v>
      </c>
    </row>
    <row r="38" spans="1:13" ht="20.100000000000001" customHeight="1" x14ac:dyDescent="0.2">
      <c r="A38" s="70">
        <v>24010001</v>
      </c>
      <c r="B38" s="21" t="s">
        <v>42</v>
      </c>
      <c r="C38" s="68">
        <f>'34'!N9</f>
        <v>590020</v>
      </c>
      <c r="D38" s="68">
        <f>'34'!N10</f>
        <v>149150</v>
      </c>
      <c r="E38" s="68">
        <f>'34'!N12</f>
        <v>62360</v>
      </c>
      <c r="F38" s="68">
        <f>'34'!N15</f>
        <v>148000</v>
      </c>
      <c r="G38" s="21">
        <v>0</v>
      </c>
      <c r="H38" s="21">
        <v>0</v>
      </c>
      <c r="I38" s="21">
        <v>0</v>
      </c>
      <c r="J38" s="68">
        <f>'34'!N26</f>
        <v>136100</v>
      </c>
      <c r="K38" s="21">
        <v>0</v>
      </c>
      <c r="L38" s="69">
        <f t="shared" si="0"/>
        <v>1085630</v>
      </c>
    </row>
    <row r="39" spans="1:13" ht="20.100000000000001" customHeight="1" x14ac:dyDescent="0.2">
      <c r="A39" s="70">
        <v>26010001</v>
      </c>
      <c r="B39" s="21" t="s">
        <v>46</v>
      </c>
      <c r="C39" s="68">
        <f>'35'!N9</f>
        <v>89200</v>
      </c>
      <c r="D39" s="68">
        <f>'35'!N10</f>
        <v>16080</v>
      </c>
      <c r="E39" s="68">
        <f>'35'!N12</f>
        <v>9470</v>
      </c>
      <c r="F39" s="68">
        <f>'35'!N15</f>
        <v>9500</v>
      </c>
      <c r="G39" s="68">
        <v>0</v>
      </c>
      <c r="H39" s="21">
        <v>0</v>
      </c>
      <c r="I39" s="21">
        <v>0</v>
      </c>
      <c r="J39" s="68">
        <f>'35'!N26</f>
        <v>2000</v>
      </c>
      <c r="K39" s="21">
        <v>0</v>
      </c>
      <c r="L39" s="69">
        <f t="shared" si="0"/>
        <v>126250</v>
      </c>
    </row>
    <row r="40" spans="1:13" ht="20.100000000000001" customHeight="1" x14ac:dyDescent="0.2">
      <c r="A40" s="70">
        <v>27010001</v>
      </c>
      <c r="B40" s="21" t="s">
        <v>50</v>
      </c>
      <c r="C40" s="68">
        <f>'36'!N9</f>
        <v>571020</v>
      </c>
      <c r="D40" s="68">
        <f>'36'!N10</f>
        <v>93330</v>
      </c>
      <c r="E40" s="68">
        <f>'36'!N12</f>
        <v>60070</v>
      </c>
      <c r="F40" s="68">
        <f>'36'!N15</f>
        <v>100500</v>
      </c>
      <c r="G40" s="21">
        <v>0</v>
      </c>
      <c r="H40" s="21">
        <v>0</v>
      </c>
      <c r="I40" s="21">
        <v>0</v>
      </c>
      <c r="J40" s="68">
        <f>'36'!N26</f>
        <v>32000</v>
      </c>
      <c r="K40" s="21">
        <v>0</v>
      </c>
      <c r="L40" s="69">
        <f t="shared" si="0"/>
        <v>856920</v>
      </c>
    </row>
    <row r="41" spans="1:13" ht="20.100000000000001" customHeight="1" x14ac:dyDescent="0.2">
      <c r="A41" s="70">
        <v>28010001</v>
      </c>
      <c r="B41" s="21" t="s">
        <v>54</v>
      </c>
      <c r="C41" s="68">
        <f>'37'!N9</f>
        <v>469950</v>
      </c>
      <c r="D41" s="68">
        <f>'37'!N10</f>
        <v>75680</v>
      </c>
      <c r="E41" s="68">
        <f>'37'!N12</f>
        <v>50240</v>
      </c>
      <c r="F41" s="68">
        <f>'37'!N15</f>
        <v>30900</v>
      </c>
      <c r="G41" s="68">
        <v>0</v>
      </c>
      <c r="H41" s="21">
        <v>0</v>
      </c>
      <c r="I41" s="21">
        <v>0</v>
      </c>
      <c r="J41" s="68">
        <f>'37'!N26</f>
        <v>3000</v>
      </c>
      <c r="K41" s="21">
        <v>0</v>
      </c>
      <c r="L41" s="69">
        <f t="shared" si="0"/>
        <v>629770</v>
      </c>
    </row>
    <row r="42" spans="1:13" s="39" customFormat="1" ht="20.100000000000001" customHeight="1" x14ac:dyDescent="0.2">
      <c r="A42" s="51"/>
      <c r="B42" s="74" t="s">
        <v>763</v>
      </c>
      <c r="C42" s="75">
        <f>SUM(C5:C41)</f>
        <v>28345090</v>
      </c>
      <c r="D42" s="75">
        <f t="shared" ref="D42:K42" si="3">SUM(D5:D41)</f>
        <v>6297350</v>
      </c>
      <c r="E42" s="75">
        <f t="shared" si="3"/>
        <v>3444220</v>
      </c>
      <c r="F42" s="75">
        <f t="shared" si="3"/>
        <v>7026150</v>
      </c>
      <c r="G42" s="75">
        <f t="shared" si="3"/>
        <v>16693500</v>
      </c>
      <c r="H42" s="75">
        <f t="shared" si="3"/>
        <v>1750000</v>
      </c>
      <c r="I42" s="75">
        <f t="shared" si="3"/>
        <v>15510</v>
      </c>
      <c r="J42" s="75">
        <f t="shared" si="3"/>
        <v>7377960</v>
      </c>
      <c r="K42" s="75">
        <f t="shared" si="3"/>
        <v>510020</v>
      </c>
      <c r="L42" s="75">
        <f>SUM(L5:L41)</f>
        <v>71459800</v>
      </c>
    </row>
    <row r="43" spans="1:13" ht="20.100000000000001" customHeight="1" x14ac:dyDescent="0.2">
      <c r="B43" t="s">
        <v>764</v>
      </c>
      <c r="L43" s="58">
        <f>Rashodi!K9</f>
        <v>660000</v>
      </c>
      <c r="M43" s="50"/>
    </row>
    <row r="44" spans="1:13" ht="20.100000000000001" customHeight="1" x14ac:dyDescent="0.2">
      <c r="B44" t="s">
        <v>765</v>
      </c>
      <c r="L44" s="58">
        <f>Uvod!G45</f>
        <v>0</v>
      </c>
    </row>
    <row r="45" spans="1:13" ht="20.100000000000001" customHeight="1" x14ac:dyDescent="0.2">
      <c r="A45" s="71"/>
      <c r="B45" s="73" t="s">
        <v>763</v>
      </c>
      <c r="C45" s="72"/>
      <c r="D45" s="72"/>
      <c r="E45" s="72"/>
      <c r="F45" s="72"/>
      <c r="G45" s="72"/>
      <c r="H45" s="72"/>
      <c r="I45" s="72"/>
      <c r="J45" s="72"/>
      <c r="K45" s="72"/>
      <c r="L45" s="78">
        <f>L42+L43+L44</f>
        <v>72119800</v>
      </c>
    </row>
  </sheetData>
  <mergeCells count="1">
    <mergeCell ref="A2:L2"/>
  </mergeCells>
  <phoneticPr fontId="0" type="noConversion"/>
  <pageMargins left="0.59055118110236227" right="0.31496062992125984" top="0.55118110236220474" bottom="0.51181102362204722" header="0.51181102362204722" footer="0.31496062992125984"/>
  <pageSetup paperSize="9" scale="69" firstPageNumber="3" orientation="landscape" r:id="rId1"/>
  <headerFooter alignWithMargins="0">
    <oddFooter>&amp;R&amp;P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D80A4-D53A-4108-81E0-9F9BAEC22339}">
  <sheetPr codeName="List9"/>
  <dimension ref="A2:N42"/>
  <sheetViews>
    <sheetView topLeftCell="A20" zoomScaleNormal="100" workbookViewId="0">
      <selection activeCell="N25" sqref="N25"/>
    </sheetView>
  </sheetViews>
  <sheetFormatPr defaultRowHeight="12.75" x14ac:dyDescent="0.2"/>
  <cols>
    <col min="1" max="1" width="11.85546875" style="34" customWidth="1"/>
    <col min="2" max="2" width="82.28515625" customWidth="1"/>
    <col min="3" max="6" width="15.7109375" customWidth="1"/>
    <col min="7" max="7" width="11.42578125" style="39" customWidth="1"/>
    <col min="8" max="8" width="10.140625" bestFit="1" customWidth="1"/>
  </cols>
  <sheetData>
    <row r="2" spans="1:10" ht="15.75" x14ac:dyDescent="0.25">
      <c r="A2" s="611" t="s">
        <v>766</v>
      </c>
      <c r="B2" s="669"/>
      <c r="C2" s="669"/>
      <c r="D2" s="669"/>
      <c r="E2" s="669"/>
      <c r="F2" s="669"/>
      <c r="G2" s="669"/>
    </row>
    <row r="4" spans="1:10" s="39" customFormat="1" ht="52.5" customHeight="1" x14ac:dyDescent="0.2">
      <c r="A4" s="76" t="s">
        <v>733</v>
      </c>
      <c r="B4" s="77" t="s">
        <v>734</v>
      </c>
      <c r="C4" s="76" t="s">
        <v>767</v>
      </c>
      <c r="D4" s="76" t="s">
        <v>768</v>
      </c>
      <c r="E4" s="76" t="s">
        <v>769</v>
      </c>
      <c r="F4" s="76" t="s">
        <v>770</v>
      </c>
      <c r="G4" s="76" t="s">
        <v>379</v>
      </c>
    </row>
    <row r="5" spans="1:10" ht="20.100000000000001" customHeight="1" x14ac:dyDescent="0.2">
      <c r="A5" s="70">
        <v>10010001</v>
      </c>
      <c r="B5" s="21" t="s">
        <v>24</v>
      </c>
      <c r="C5" s="68">
        <v>23</v>
      </c>
      <c r="D5" s="68">
        <v>0</v>
      </c>
      <c r="E5" s="68">
        <v>0</v>
      </c>
      <c r="F5" s="68">
        <v>0</v>
      </c>
      <c r="G5" s="69">
        <f t="shared" ref="G5:G41" si="0">SUM(C5:F5)</f>
        <v>23</v>
      </c>
    </row>
    <row r="6" spans="1:10" ht="20.100000000000001" customHeight="1" x14ac:dyDescent="0.2">
      <c r="A6" s="70">
        <v>11010001</v>
      </c>
      <c r="B6" s="21" t="s">
        <v>28</v>
      </c>
      <c r="C6" s="68">
        <v>8</v>
      </c>
      <c r="D6" s="68">
        <v>0</v>
      </c>
      <c r="E6" s="68">
        <v>0</v>
      </c>
      <c r="F6" s="68">
        <v>0</v>
      </c>
      <c r="G6" s="69">
        <f t="shared" si="0"/>
        <v>8</v>
      </c>
      <c r="J6" s="50"/>
    </row>
    <row r="7" spans="1:10" ht="20.100000000000001" customHeight="1" x14ac:dyDescent="0.2">
      <c r="A7" s="70">
        <v>11010003</v>
      </c>
      <c r="B7" s="21" t="s">
        <v>32</v>
      </c>
      <c r="C7" s="68">
        <v>2</v>
      </c>
      <c r="D7" s="68">
        <v>0</v>
      </c>
      <c r="E7" s="68">
        <v>0</v>
      </c>
      <c r="F7" s="68">
        <v>0</v>
      </c>
      <c r="G7" s="69">
        <f t="shared" si="0"/>
        <v>2</v>
      </c>
    </row>
    <row r="8" spans="1:10" ht="20.100000000000001" customHeight="1" x14ac:dyDescent="0.2">
      <c r="A8" s="70">
        <v>11010004</v>
      </c>
      <c r="B8" s="21" t="s">
        <v>36</v>
      </c>
      <c r="C8" s="68">
        <v>2</v>
      </c>
      <c r="D8" s="68">
        <v>0</v>
      </c>
      <c r="E8" s="68">
        <v>0</v>
      </c>
      <c r="F8" s="68">
        <v>0</v>
      </c>
      <c r="G8" s="69">
        <f t="shared" si="0"/>
        <v>2</v>
      </c>
    </row>
    <row r="9" spans="1:10" ht="20.100000000000001" customHeight="1" x14ac:dyDescent="0.2">
      <c r="A9" s="70">
        <v>11010005</v>
      </c>
      <c r="B9" s="245" t="s">
        <v>744</v>
      </c>
      <c r="C9" s="68">
        <v>6</v>
      </c>
      <c r="D9" s="68">
        <v>1</v>
      </c>
      <c r="E9" s="68">
        <v>0</v>
      </c>
      <c r="F9" s="68">
        <v>0</v>
      </c>
      <c r="G9" s="69">
        <f t="shared" si="0"/>
        <v>7</v>
      </c>
    </row>
    <row r="10" spans="1:10" ht="20.100000000000001" customHeight="1" x14ac:dyDescent="0.2">
      <c r="A10" s="70">
        <v>11010006</v>
      </c>
      <c r="B10" s="21" t="s">
        <v>745</v>
      </c>
      <c r="C10" s="68">
        <v>4</v>
      </c>
      <c r="D10" s="68">
        <v>0</v>
      </c>
      <c r="E10" s="68">
        <v>0</v>
      </c>
      <c r="F10" s="68">
        <v>0</v>
      </c>
      <c r="G10" s="69">
        <f t="shared" si="0"/>
        <v>4</v>
      </c>
    </row>
    <row r="11" spans="1:10" ht="20.100000000000001" customHeight="1" x14ac:dyDescent="0.2">
      <c r="A11" s="70">
        <v>12010001</v>
      </c>
      <c r="B11" s="21" t="s">
        <v>48</v>
      </c>
      <c r="C11" s="68">
        <v>21</v>
      </c>
      <c r="D11" s="68">
        <v>0</v>
      </c>
      <c r="E11" s="68">
        <v>0</v>
      </c>
      <c r="F11" s="68">
        <v>0</v>
      </c>
      <c r="G11" s="69">
        <f t="shared" si="0"/>
        <v>21</v>
      </c>
    </row>
    <row r="12" spans="1:10" ht="20.100000000000001" customHeight="1" x14ac:dyDescent="0.2">
      <c r="A12" s="70">
        <v>13010001</v>
      </c>
      <c r="B12" s="21" t="s">
        <v>52</v>
      </c>
      <c r="C12" s="68">
        <v>222</v>
      </c>
      <c r="D12" s="68">
        <v>1</v>
      </c>
      <c r="E12" s="68">
        <v>0</v>
      </c>
      <c r="F12" s="68">
        <v>0</v>
      </c>
      <c r="G12" s="69">
        <f t="shared" si="0"/>
        <v>223</v>
      </c>
    </row>
    <row r="13" spans="1:10" ht="20.100000000000001" customHeight="1" x14ac:dyDescent="0.2">
      <c r="A13" s="70">
        <v>14010001</v>
      </c>
      <c r="B13" s="21" t="s">
        <v>56</v>
      </c>
      <c r="C13" s="68">
        <v>7</v>
      </c>
      <c r="D13" s="68">
        <v>0</v>
      </c>
      <c r="E13" s="68">
        <v>0</v>
      </c>
      <c r="F13" s="68">
        <v>0</v>
      </c>
      <c r="G13" s="69">
        <f t="shared" si="0"/>
        <v>7</v>
      </c>
    </row>
    <row r="14" spans="1:10" ht="20.100000000000001" customHeight="1" x14ac:dyDescent="0.2">
      <c r="A14" s="70">
        <v>14020003</v>
      </c>
      <c r="B14" s="21" t="s">
        <v>746</v>
      </c>
      <c r="C14" s="68">
        <v>42</v>
      </c>
      <c r="D14" s="68">
        <v>0</v>
      </c>
      <c r="E14" s="68">
        <v>0</v>
      </c>
      <c r="F14" s="68">
        <v>0</v>
      </c>
      <c r="G14" s="69">
        <f t="shared" si="0"/>
        <v>42</v>
      </c>
    </row>
    <row r="15" spans="1:10" ht="20.100000000000001" customHeight="1" x14ac:dyDescent="0.2">
      <c r="A15" s="70">
        <v>14050001</v>
      </c>
      <c r="B15" s="21" t="s">
        <v>747</v>
      </c>
      <c r="C15" s="68">
        <v>1</v>
      </c>
      <c r="D15" s="68">
        <v>0</v>
      </c>
      <c r="E15" s="68">
        <v>0</v>
      </c>
      <c r="F15" s="68">
        <v>0</v>
      </c>
      <c r="G15" s="69">
        <f t="shared" si="0"/>
        <v>1</v>
      </c>
    </row>
    <row r="16" spans="1:10" ht="20.100000000000001" customHeight="1" x14ac:dyDescent="0.2">
      <c r="A16" s="70">
        <v>14050002</v>
      </c>
      <c r="B16" s="21" t="s">
        <v>748</v>
      </c>
      <c r="C16" s="68">
        <v>3</v>
      </c>
      <c r="D16" s="68">
        <v>0</v>
      </c>
      <c r="E16" s="68">
        <v>0</v>
      </c>
      <c r="F16" s="68">
        <v>0</v>
      </c>
      <c r="G16" s="69">
        <f t="shared" si="0"/>
        <v>3</v>
      </c>
    </row>
    <row r="17" spans="1:14" ht="20.100000000000001" customHeight="1" x14ac:dyDescent="0.2">
      <c r="A17" s="70">
        <v>14060001</v>
      </c>
      <c r="B17" s="21" t="s">
        <v>749</v>
      </c>
      <c r="C17" s="68">
        <v>3</v>
      </c>
      <c r="D17" s="68">
        <v>0</v>
      </c>
      <c r="E17" s="68">
        <v>0</v>
      </c>
      <c r="F17" s="68">
        <v>0</v>
      </c>
      <c r="G17" s="69">
        <f t="shared" si="0"/>
        <v>3</v>
      </c>
    </row>
    <row r="18" spans="1:14" ht="20.100000000000001" customHeight="1" x14ac:dyDescent="0.2">
      <c r="A18" s="70">
        <v>14070001</v>
      </c>
      <c r="B18" s="245" t="s">
        <v>750</v>
      </c>
      <c r="C18" s="68">
        <v>1</v>
      </c>
      <c r="D18" s="68">
        <v>1</v>
      </c>
      <c r="E18" s="68">
        <v>0</v>
      </c>
      <c r="F18" s="68">
        <v>0</v>
      </c>
      <c r="G18" s="69">
        <f t="shared" si="0"/>
        <v>2</v>
      </c>
    </row>
    <row r="19" spans="1:14" ht="20.100000000000001" customHeight="1" x14ac:dyDescent="0.2">
      <c r="A19" s="70">
        <v>15010001</v>
      </c>
      <c r="B19" s="21" t="s">
        <v>751</v>
      </c>
      <c r="C19" s="68">
        <v>10</v>
      </c>
      <c r="D19" s="68">
        <v>1</v>
      </c>
      <c r="E19" s="68">
        <v>0</v>
      </c>
      <c r="F19" s="68">
        <v>0</v>
      </c>
      <c r="G19" s="69">
        <f t="shared" si="0"/>
        <v>11</v>
      </c>
    </row>
    <row r="20" spans="1:14" ht="20.100000000000001" customHeight="1" x14ac:dyDescent="0.2">
      <c r="A20" s="70">
        <v>16010001</v>
      </c>
      <c r="B20" s="21" t="s">
        <v>80</v>
      </c>
      <c r="C20" s="68">
        <v>17</v>
      </c>
      <c r="D20" s="68">
        <v>0</v>
      </c>
      <c r="E20" s="68">
        <v>0</v>
      </c>
      <c r="F20" s="68">
        <v>0</v>
      </c>
      <c r="G20" s="69">
        <f t="shared" si="0"/>
        <v>17</v>
      </c>
      <c r="J20" s="50"/>
    </row>
    <row r="21" spans="1:14" ht="20.100000000000001" customHeight="1" x14ac:dyDescent="0.2">
      <c r="A21" s="70">
        <v>17010001</v>
      </c>
      <c r="B21" s="21" t="s">
        <v>82</v>
      </c>
      <c r="C21" s="68">
        <v>11</v>
      </c>
      <c r="D21" s="68">
        <v>0</v>
      </c>
      <c r="E21" s="68">
        <v>0</v>
      </c>
      <c r="F21" s="68">
        <v>0</v>
      </c>
      <c r="G21" s="69">
        <f t="shared" si="0"/>
        <v>11</v>
      </c>
    </row>
    <row r="22" spans="1:14" ht="20.100000000000001" customHeight="1" x14ac:dyDescent="0.2">
      <c r="A22" s="70">
        <v>18010001</v>
      </c>
      <c r="B22" s="21" t="s">
        <v>84</v>
      </c>
      <c r="C22" s="68">
        <v>13</v>
      </c>
      <c r="D22" s="68">
        <v>0</v>
      </c>
      <c r="E22" s="68">
        <v>0</v>
      </c>
      <c r="F22" s="68">
        <v>0</v>
      </c>
      <c r="G22" s="69">
        <f t="shared" si="0"/>
        <v>13</v>
      </c>
    </row>
    <row r="23" spans="1:14" ht="20.100000000000001" customHeight="1" x14ac:dyDescent="0.2">
      <c r="A23" s="70">
        <v>19010001</v>
      </c>
      <c r="B23" s="21" t="s">
        <v>752</v>
      </c>
      <c r="C23" s="68">
        <v>30</v>
      </c>
      <c r="D23" s="68">
        <v>1</v>
      </c>
      <c r="E23" s="68">
        <v>0</v>
      </c>
      <c r="F23" s="68">
        <v>0</v>
      </c>
      <c r="G23" s="69">
        <f t="shared" si="0"/>
        <v>31</v>
      </c>
    </row>
    <row r="24" spans="1:14" ht="20.100000000000001" customHeight="1" x14ac:dyDescent="0.2">
      <c r="A24" s="70">
        <v>20010001</v>
      </c>
      <c r="B24" s="21" t="s">
        <v>88</v>
      </c>
      <c r="C24" s="68">
        <v>13</v>
      </c>
      <c r="D24" s="68">
        <v>1</v>
      </c>
      <c r="E24" s="68">
        <v>0</v>
      </c>
      <c r="F24" s="68">
        <v>0</v>
      </c>
      <c r="G24" s="69">
        <f t="shared" si="0"/>
        <v>14</v>
      </c>
    </row>
    <row r="25" spans="1:14" ht="20.100000000000001" customHeight="1" x14ac:dyDescent="0.2">
      <c r="A25" s="70">
        <v>20020002</v>
      </c>
      <c r="B25" s="21" t="s">
        <v>753</v>
      </c>
      <c r="C25" s="68">
        <v>43</v>
      </c>
      <c r="D25" s="68">
        <v>0</v>
      </c>
      <c r="E25" s="68">
        <v>0</v>
      </c>
      <c r="F25" s="68">
        <v>1</v>
      </c>
      <c r="G25" s="69">
        <f t="shared" si="0"/>
        <v>44</v>
      </c>
      <c r="N25" s="65"/>
    </row>
    <row r="26" spans="1:14" ht="20.100000000000001" customHeight="1" x14ac:dyDescent="0.2">
      <c r="A26" s="70">
        <v>20020003</v>
      </c>
      <c r="B26" s="21" t="s">
        <v>754</v>
      </c>
      <c r="C26" s="68">
        <v>45</v>
      </c>
      <c r="D26" s="68">
        <v>0</v>
      </c>
      <c r="E26" s="68">
        <v>0</v>
      </c>
      <c r="F26" s="68">
        <v>0</v>
      </c>
      <c r="G26" s="69">
        <f t="shared" si="0"/>
        <v>45</v>
      </c>
    </row>
    <row r="27" spans="1:14" ht="20.100000000000001" customHeight="1" x14ac:dyDescent="0.2">
      <c r="A27" s="70">
        <v>20020004</v>
      </c>
      <c r="B27" s="21" t="s">
        <v>755</v>
      </c>
      <c r="C27" s="68">
        <v>40</v>
      </c>
      <c r="D27" s="68">
        <v>0</v>
      </c>
      <c r="E27" s="68">
        <v>0</v>
      </c>
      <c r="F27" s="68">
        <v>8</v>
      </c>
      <c r="G27" s="69">
        <f t="shared" si="0"/>
        <v>48</v>
      </c>
    </row>
    <row r="28" spans="1:14" ht="20.100000000000001" customHeight="1" x14ac:dyDescent="0.2">
      <c r="A28" s="70">
        <v>20030001</v>
      </c>
      <c r="B28" s="245" t="s">
        <v>756</v>
      </c>
      <c r="C28" s="68">
        <v>59</v>
      </c>
      <c r="D28" s="68">
        <v>0</v>
      </c>
      <c r="E28" s="68">
        <v>0</v>
      </c>
      <c r="F28" s="68">
        <v>3</v>
      </c>
      <c r="G28" s="69">
        <f t="shared" si="0"/>
        <v>62</v>
      </c>
    </row>
    <row r="29" spans="1:14" ht="20.100000000000001" customHeight="1" x14ac:dyDescent="0.2">
      <c r="A29" s="70">
        <v>20030002</v>
      </c>
      <c r="B29" s="21" t="s">
        <v>757</v>
      </c>
      <c r="C29" s="68">
        <v>108</v>
      </c>
      <c r="D29" s="68">
        <v>0</v>
      </c>
      <c r="E29" s="68">
        <v>0</v>
      </c>
      <c r="F29" s="68">
        <v>2</v>
      </c>
      <c r="G29" s="69">
        <f t="shared" si="0"/>
        <v>110</v>
      </c>
    </row>
    <row r="30" spans="1:14" ht="20.100000000000001" customHeight="1" x14ac:dyDescent="0.2">
      <c r="A30" s="70">
        <v>20030003</v>
      </c>
      <c r="B30" s="21" t="s">
        <v>758</v>
      </c>
      <c r="C30" s="68">
        <v>28</v>
      </c>
      <c r="D30" s="68">
        <v>0</v>
      </c>
      <c r="E30" s="68">
        <v>1</v>
      </c>
      <c r="F30" s="68">
        <v>0</v>
      </c>
      <c r="G30" s="69">
        <f t="shared" si="0"/>
        <v>29</v>
      </c>
    </row>
    <row r="31" spans="1:14" ht="20.100000000000001" customHeight="1" x14ac:dyDescent="0.2">
      <c r="A31" s="70">
        <v>20030004</v>
      </c>
      <c r="B31" s="21" t="s">
        <v>759</v>
      </c>
      <c r="C31" s="68">
        <v>34</v>
      </c>
      <c r="D31" s="68">
        <v>0</v>
      </c>
      <c r="E31" s="68">
        <v>3</v>
      </c>
      <c r="F31" s="68">
        <v>0</v>
      </c>
      <c r="G31" s="69">
        <f t="shared" si="0"/>
        <v>37</v>
      </c>
    </row>
    <row r="32" spans="1:14" ht="20.100000000000001" customHeight="1" x14ac:dyDescent="0.2">
      <c r="A32" s="70">
        <v>20030005</v>
      </c>
      <c r="B32" s="245" t="s">
        <v>760</v>
      </c>
      <c r="C32" s="68">
        <v>39</v>
      </c>
      <c r="D32" s="68">
        <v>0</v>
      </c>
      <c r="E32" s="68">
        <v>2</v>
      </c>
      <c r="F32" s="68">
        <v>1</v>
      </c>
      <c r="G32" s="69">
        <f t="shared" si="0"/>
        <v>42</v>
      </c>
    </row>
    <row r="33" spans="1:7" ht="20.100000000000001" customHeight="1" x14ac:dyDescent="0.2">
      <c r="A33" s="70">
        <v>20030006</v>
      </c>
      <c r="B33" s="21" t="s">
        <v>761</v>
      </c>
      <c r="C33" s="68">
        <v>16</v>
      </c>
      <c r="D33" s="68">
        <v>0</v>
      </c>
      <c r="E33" s="68">
        <v>5</v>
      </c>
      <c r="F33" s="68">
        <v>0</v>
      </c>
      <c r="G33" s="69">
        <f t="shared" si="0"/>
        <v>21</v>
      </c>
    </row>
    <row r="34" spans="1:7" ht="20.100000000000001" customHeight="1" x14ac:dyDescent="0.2">
      <c r="A34" s="70">
        <v>20030007</v>
      </c>
      <c r="B34" s="21" t="s">
        <v>762</v>
      </c>
      <c r="C34" s="68">
        <v>28</v>
      </c>
      <c r="D34" s="68">
        <v>0</v>
      </c>
      <c r="E34" s="68">
        <v>2</v>
      </c>
      <c r="F34" s="68">
        <v>0</v>
      </c>
      <c r="G34" s="69">
        <f t="shared" si="0"/>
        <v>30</v>
      </c>
    </row>
    <row r="35" spans="1:7" ht="20.100000000000001" customHeight="1" x14ac:dyDescent="0.2">
      <c r="A35" s="70">
        <v>21010001</v>
      </c>
      <c r="B35" s="21" t="s">
        <v>30</v>
      </c>
      <c r="C35" s="68">
        <v>13</v>
      </c>
      <c r="D35" s="68">
        <v>1</v>
      </c>
      <c r="E35" s="68">
        <v>0</v>
      </c>
      <c r="F35" s="68">
        <v>0</v>
      </c>
      <c r="G35" s="69">
        <f t="shared" si="0"/>
        <v>14</v>
      </c>
    </row>
    <row r="36" spans="1:7" ht="20.100000000000001" customHeight="1" x14ac:dyDescent="0.2">
      <c r="A36" s="70">
        <v>22010001</v>
      </c>
      <c r="B36" s="21" t="s">
        <v>34</v>
      </c>
      <c r="C36" s="68">
        <v>4</v>
      </c>
      <c r="D36" s="68">
        <v>0</v>
      </c>
      <c r="E36" s="68">
        <v>0</v>
      </c>
      <c r="F36" s="68">
        <v>0</v>
      </c>
      <c r="G36" s="69">
        <f t="shared" si="0"/>
        <v>4</v>
      </c>
    </row>
    <row r="37" spans="1:7" ht="20.100000000000001" customHeight="1" x14ac:dyDescent="0.2">
      <c r="A37" s="70">
        <v>23010001</v>
      </c>
      <c r="B37" s="21" t="s">
        <v>38</v>
      </c>
      <c r="C37" s="68">
        <v>36</v>
      </c>
      <c r="D37" s="68">
        <v>0</v>
      </c>
      <c r="E37" s="68">
        <v>0</v>
      </c>
      <c r="F37" s="68">
        <v>0</v>
      </c>
      <c r="G37" s="69">
        <f t="shared" si="0"/>
        <v>36</v>
      </c>
    </row>
    <row r="38" spans="1:7" ht="20.100000000000001" customHeight="1" x14ac:dyDescent="0.2">
      <c r="A38" s="70">
        <v>24010001</v>
      </c>
      <c r="B38" s="21" t="s">
        <v>42</v>
      </c>
      <c r="C38" s="68">
        <v>16</v>
      </c>
      <c r="D38" s="68">
        <v>0</v>
      </c>
      <c r="E38" s="68">
        <v>0</v>
      </c>
      <c r="F38" s="68">
        <v>0</v>
      </c>
      <c r="G38" s="69">
        <f t="shared" si="0"/>
        <v>16</v>
      </c>
    </row>
    <row r="39" spans="1:7" ht="20.100000000000001" customHeight="1" x14ac:dyDescent="0.2">
      <c r="A39" s="70">
        <v>26010001</v>
      </c>
      <c r="B39" s="21" t="s">
        <v>46</v>
      </c>
      <c r="C39" s="68">
        <v>3</v>
      </c>
      <c r="D39" s="68">
        <v>0</v>
      </c>
      <c r="E39" s="68">
        <v>0</v>
      </c>
      <c r="F39" s="68">
        <v>0</v>
      </c>
      <c r="G39" s="69">
        <f t="shared" si="0"/>
        <v>3</v>
      </c>
    </row>
    <row r="40" spans="1:7" ht="20.100000000000001" customHeight="1" x14ac:dyDescent="0.2">
      <c r="A40" s="70">
        <v>27010001</v>
      </c>
      <c r="B40" s="21" t="s">
        <v>50</v>
      </c>
      <c r="C40" s="68">
        <v>12</v>
      </c>
      <c r="D40" s="68">
        <v>1</v>
      </c>
      <c r="E40" s="68">
        <v>0</v>
      </c>
      <c r="F40" s="68">
        <v>0</v>
      </c>
      <c r="G40" s="69">
        <f t="shared" si="0"/>
        <v>13</v>
      </c>
    </row>
    <row r="41" spans="1:7" ht="20.100000000000001" customHeight="1" x14ac:dyDescent="0.2">
      <c r="A41" s="70">
        <v>28010001</v>
      </c>
      <c r="B41" s="21" t="s">
        <v>54</v>
      </c>
      <c r="C41" s="68">
        <v>13</v>
      </c>
      <c r="D41" s="68">
        <v>0</v>
      </c>
      <c r="E41" s="68">
        <v>0</v>
      </c>
      <c r="F41" s="68">
        <v>0</v>
      </c>
      <c r="G41" s="69">
        <f t="shared" si="0"/>
        <v>13</v>
      </c>
    </row>
    <row r="42" spans="1:7" s="39" customFormat="1" ht="20.100000000000001" customHeight="1" x14ac:dyDescent="0.2">
      <c r="A42" s="51"/>
      <c r="B42" s="74" t="s">
        <v>763</v>
      </c>
      <c r="C42" s="75">
        <f>SUM(C5:C41)</f>
        <v>976</v>
      </c>
      <c r="D42" s="75">
        <f t="shared" ref="D42:F42" si="1">SUM(D5:D41)</f>
        <v>8</v>
      </c>
      <c r="E42" s="75">
        <f t="shared" si="1"/>
        <v>13</v>
      </c>
      <c r="F42" s="75">
        <f t="shared" si="1"/>
        <v>15</v>
      </c>
      <c r="G42" s="75">
        <f>SUM(G5:G41)</f>
        <v>1012</v>
      </c>
    </row>
  </sheetData>
  <mergeCells count="1">
    <mergeCell ref="A2:G2"/>
  </mergeCells>
  <pageMargins left="0.59055118110236227" right="0.31496062992125984" top="0.55118110236220474" bottom="0.51181102362204722" header="0.51181102362204722" footer="0.31496062992125984"/>
  <pageSetup paperSize="9" scale="83" firstPageNumber="3" orientation="landscape" r:id="rId1"/>
  <headerFooter alignWithMargins="0">
    <oddFooter>&amp;R&amp;P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List7"/>
  <dimension ref="A2:N119"/>
  <sheetViews>
    <sheetView zoomScale="120" zoomScaleNormal="120" zoomScaleSheetLayoutView="100" workbookViewId="0">
      <selection activeCell="N25" sqref="N25"/>
    </sheetView>
  </sheetViews>
  <sheetFormatPr defaultRowHeight="12.75" x14ac:dyDescent="0.2"/>
  <cols>
    <col min="1" max="1" width="6.85546875" customWidth="1"/>
    <col min="2" max="2" width="11.5703125" customWidth="1"/>
    <col min="3" max="3" width="87.28515625" customWidth="1"/>
    <col min="4" max="4" width="20.140625" customWidth="1"/>
    <col min="5" max="5" width="17.7109375" customWidth="1"/>
    <col min="6" max="6" width="8.85546875" customWidth="1"/>
    <col min="8" max="9" width="10.140625" bestFit="1" customWidth="1"/>
  </cols>
  <sheetData>
    <row r="2" spans="1:9" ht="15" x14ac:dyDescent="0.25">
      <c r="A2" s="670" t="s">
        <v>771</v>
      </c>
      <c r="B2" s="585"/>
      <c r="C2" s="585"/>
      <c r="D2" s="585"/>
      <c r="E2" s="585"/>
      <c r="F2" s="585"/>
    </row>
    <row r="3" spans="1:9" ht="15" x14ac:dyDescent="0.25">
      <c r="A3" s="80"/>
      <c r="B3" s="81"/>
      <c r="C3" s="81"/>
      <c r="D3" s="81"/>
      <c r="E3" s="81"/>
    </row>
    <row r="4" spans="1:9" x14ac:dyDescent="0.2">
      <c r="A4" s="82"/>
      <c r="B4" s="82"/>
      <c r="C4" s="83"/>
      <c r="D4" s="84"/>
      <c r="E4" s="84"/>
    </row>
    <row r="5" spans="1:9" ht="66" customHeight="1" x14ac:dyDescent="0.2">
      <c r="A5" s="85" t="s">
        <v>4</v>
      </c>
      <c r="B5" s="86" t="s">
        <v>772</v>
      </c>
      <c r="C5" s="86" t="s">
        <v>773</v>
      </c>
      <c r="D5" s="85" t="s">
        <v>774</v>
      </c>
      <c r="E5" s="85" t="s">
        <v>152</v>
      </c>
      <c r="F5" s="85" t="s">
        <v>110</v>
      </c>
    </row>
    <row r="6" spans="1:9" x14ac:dyDescent="0.2">
      <c r="A6" s="87"/>
      <c r="B6" s="88">
        <v>1</v>
      </c>
      <c r="C6" s="88">
        <v>2</v>
      </c>
      <c r="D6" s="89">
        <v>3</v>
      </c>
      <c r="E6" s="89">
        <v>4</v>
      </c>
      <c r="F6" s="110" t="s">
        <v>775</v>
      </c>
    </row>
    <row r="7" spans="1:9" x14ac:dyDescent="0.2">
      <c r="A7" s="235">
        <v>1</v>
      </c>
      <c r="B7" s="236"/>
      <c r="C7" s="236" t="s">
        <v>776</v>
      </c>
      <c r="D7" s="237">
        <f>D8+D17+D23+D30+D40+D47+D54+D61+D68+D77</f>
        <v>66995493</v>
      </c>
      <c r="E7" s="237">
        <f>E8+E17+E23+E30+E40+E47+E54+E61+E68+E77</f>
        <v>71459800</v>
      </c>
      <c r="F7" s="238">
        <f>IF(D7=0,"",E7/D7*100)</f>
        <v>106.66359302707124</v>
      </c>
      <c r="H7" s="50"/>
      <c r="I7" s="50"/>
    </row>
    <row r="8" spans="1:9" x14ac:dyDescent="0.2">
      <c r="A8" s="235">
        <v>2</v>
      </c>
      <c r="B8" s="239" t="s">
        <v>554</v>
      </c>
      <c r="C8" s="240" t="s">
        <v>777</v>
      </c>
      <c r="D8" s="237">
        <f>SUM(D9:D16)</f>
        <v>8717753</v>
      </c>
      <c r="E8" s="237">
        <f>SUM(E9:E16)</f>
        <v>8784000</v>
      </c>
      <c r="F8" s="241">
        <f>IF(D8=0,"",E8/D8*100)</f>
        <v>100.75990911878326</v>
      </c>
      <c r="H8" s="50"/>
    </row>
    <row r="9" spans="1:9" ht="14.1" customHeight="1" x14ac:dyDescent="0.2">
      <c r="A9" s="87">
        <v>3</v>
      </c>
      <c r="B9" s="90" t="s">
        <v>778</v>
      </c>
      <c r="C9" s="91" t="s">
        <v>779</v>
      </c>
      <c r="D9" s="67">
        <f>'1'!J32+'2'!J52-'2'!J8+'3'!J31+'4'!J31+'5'!J31+'6'!J34+'16'!J48-'16'!J8</f>
        <v>7589103</v>
      </c>
      <c r="E9" s="67">
        <f>'1'!N32+'2'!N52-'2'!N8+'3'!N31+'4'!N31+'5'!N31+'6'!N34+'16'!N48-'16'!N8</f>
        <v>7623270</v>
      </c>
      <c r="F9" s="92">
        <f>IF(D9=0,"",E9/D9*100)</f>
        <v>100.45021130955793</v>
      </c>
      <c r="I9" s="50"/>
    </row>
    <row r="10" spans="1:9" ht="14.1" customHeight="1" x14ac:dyDescent="0.2">
      <c r="A10" s="87">
        <v>4</v>
      </c>
      <c r="B10" s="90" t="s">
        <v>780</v>
      </c>
      <c r="C10" s="91" t="s">
        <v>781</v>
      </c>
      <c r="D10" s="67">
        <v>0</v>
      </c>
      <c r="E10" s="67">
        <v>0</v>
      </c>
      <c r="F10" s="92" t="str">
        <f t="shared" ref="F10:F73" si="0">IF(D10=0,"",E10/D10*100)</f>
        <v/>
      </c>
      <c r="H10" s="50"/>
    </row>
    <row r="11" spans="1:9" ht="14.1" customHeight="1" x14ac:dyDescent="0.2">
      <c r="A11" s="87">
        <v>5</v>
      </c>
      <c r="B11" s="90" t="s">
        <v>782</v>
      </c>
      <c r="C11" s="91" t="s">
        <v>783</v>
      </c>
      <c r="D11" s="67">
        <f>'7'!J31+'14'!J31</f>
        <v>1128650</v>
      </c>
      <c r="E11" s="67">
        <f>'7'!N31+'14'!N31</f>
        <v>1160730</v>
      </c>
      <c r="F11" s="92">
        <f t="shared" si="0"/>
        <v>102.84233376157357</v>
      </c>
    </row>
    <row r="12" spans="1:9" ht="14.1" customHeight="1" x14ac:dyDescent="0.2">
      <c r="A12" s="87">
        <v>6</v>
      </c>
      <c r="B12" s="90" t="s">
        <v>784</v>
      </c>
      <c r="C12" s="91" t="s">
        <v>785</v>
      </c>
      <c r="D12" s="67">
        <v>0</v>
      </c>
      <c r="E12" s="67">
        <v>0</v>
      </c>
      <c r="F12" s="92" t="str">
        <f t="shared" si="0"/>
        <v/>
      </c>
    </row>
    <row r="13" spans="1:9" ht="14.1" customHeight="1" x14ac:dyDescent="0.2">
      <c r="A13" s="87">
        <v>7</v>
      </c>
      <c r="B13" s="90" t="s">
        <v>786</v>
      </c>
      <c r="C13" s="91" t="s">
        <v>787</v>
      </c>
      <c r="D13" s="67">
        <v>0</v>
      </c>
      <c r="E13" s="67">
        <v>0</v>
      </c>
      <c r="F13" s="92" t="str">
        <f t="shared" si="0"/>
        <v/>
      </c>
    </row>
    <row r="14" spans="1:9" ht="14.1" customHeight="1" x14ac:dyDescent="0.2">
      <c r="A14" s="87">
        <v>8</v>
      </c>
      <c r="B14" s="90" t="s">
        <v>788</v>
      </c>
      <c r="C14" s="91" t="s">
        <v>789</v>
      </c>
      <c r="D14" s="67">
        <v>0</v>
      </c>
      <c r="E14" s="67">
        <v>0</v>
      </c>
      <c r="F14" s="92" t="str">
        <f t="shared" si="0"/>
        <v/>
      </c>
    </row>
    <row r="15" spans="1:9" ht="14.1" customHeight="1" x14ac:dyDescent="0.2">
      <c r="A15" s="87">
        <v>9</v>
      </c>
      <c r="B15" s="90" t="s">
        <v>790</v>
      </c>
      <c r="C15" s="91" t="s">
        <v>791</v>
      </c>
      <c r="D15" s="67">
        <v>0</v>
      </c>
      <c r="E15" s="67">
        <v>0</v>
      </c>
      <c r="F15" s="92" t="str">
        <f t="shared" si="0"/>
        <v/>
      </c>
    </row>
    <row r="16" spans="1:9" ht="14.1" customHeight="1" x14ac:dyDescent="0.2">
      <c r="A16" s="87">
        <v>10</v>
      </c>
      <c r="B16" s="90" t="s">
        <v>792</v>
      </c>
      <c r="C16" s="91" t="s">
        <v>793</v>
      </c>
      <c r="D16" s="67">
        <v>0</v>
      </c>
      <c r="E16" s="67">
        <v>0</v>
      </c>
      <c r="F16" s="92" t="str">
        <f t="shared" si="0"/>
        <v/>
      </c>
    </row>
    <row r="17" spans="1:14" ht="14.1" customHeight="1" x14ac:dyDescent="0.2">
      <c r="A17" s="235">
        <v>11</v>
      </c>
      <c r="B17" s="239" t="s">
        <v>598</v>
      </c>
      <c r="C17" s="240" t="s">
        <v>794</v>
      </c>
      <c r="D17" s="237">
        <f>SUM(D18:D22)</f>
        <v>0</v>
      </c>
      <c r="E17" s="237">
        <f>SUM(E18:E22)</f>
        <v>0</v>
      </c>
      <c r="F17" s="241" t="str">
        <f t="shared" si="0"/>
        <v/>
      </c>
    </row>
    <row r="18" spans="1:14" ht="14.1" customHeight="1" x14ac:dyDescent="0.2">
      <c r="A18" s="87">
        <v>12</v>
      </c>
      <c r="B18" s="90" t="s">
        <v>795</v>
      </c>
      <c r="C18" s="91" t="s">
        <v>796</v>
      </c>
      <c r="D18" s="67">
        <v>0</v>
      </c>
      <c r="E18" s="67">
        <v>0</v>
      </c>
      <c r="F18" s="92" t="str">
        <f t="shared" si="0"/>
        <v/>
      </c>
    </row>
    <row r="19" spans="1:14" ht="14.1" customHeight="1" x14ac:dyDescent="0.2">
      <c r="A19" s="87">
        <v>13</v>
      </c>
      <c r="B19" s="90" t="s">
        <v>797</v>
      </c>
      <c r="C19" s="91" t="s">
        <v>798</v>
      </c>
      <c r="D19" s="67">
        <v>0</v>
      </c>
      <c r="E19" s="67">
        <v>0</v>
      </c>
      <c r="F19" s="92" t="str">
        <f t="shared" si="0"/>
        <v/>
      </c>
    </row>
    <row r="20" spans="1:14" ht="14.1" customHeight="1" x14ac:dyDescent="0.2">
      <c r="A20" s="87">
        <v>14</v>
      </c>
      <c r="B20" s="90" t="s">
        <v>799</v>
      </c>
      <c r="C20" s="91" t="s">
        <v>800</v>
      </c>
      <c r="D20" s="67">
        <v>0</v>
      </c>
      <c r="E20" s="67">
        <v>0</v>
      </c>
      <c r="F20" s="92" t="str">
        <f t="shared" si="0"/>
        <v/>
      </c>
    </row>
    <row r="21" spans="1:14" ht="14.1" customHeight="1" x14ac:dyDescent="0.2">
      <c r="A21" s="87">
        <v>15</v>
      </c>
      <c r="B21" s="90" t="s">
        <v>801</v>
      </c>
      <c r="C21" s="91" t="s">
        <v>802</v>
      </c>
      <c r="D21" s="67">
        <v>0</v>
      </c>
      <c r="E21" s="67">
        <v>0</v>
      </c>
      <c r="F21" s="92" t="str">
        <f t="shared" si="0"/>
        <v/>
      </c>
    </row>
    <row r="22" spans="1:14" ht="14.1" customHeight="1" x14ac:dyDescent="0.2">
      <c r="A22" s="87">
        <v>16</v>
      </c>
      <c r="B22" s="90" t="s">
        <v>803</v>
      </c>
      <c r="C22" s="91" t="s">
        <v>804</v>
      </c>
      <c r="D22" s="67">
        <v>0</v>
      </c>
      <c r="E22" s="67">
        <v>0</v>
      </c>
      <c r="F22" s="92" t="str">
        <f t="shared" si="0"/>
        <v/>
      </c>
    </row>
    <row r="23" spans="1:14" ht="14.1" customHeight="1" x14ac:dyDescent="0.2">
      <c r="A23" s="235">
        <v>17</v>
      </c>
      <c r="B23" s="239" t="s">
        <v>691</v>
      </c>
      <c r="C23" s="240" t="s">
        <v>805</v>
      </c>
      <c r="D23" s="237">
        <f>SUM(D24:D29)</f>
        <v>17385190</v>
      </c>
      <c r="E23" s="237">
        <f>SUM(E24:E29)</f>
        <v>18213110</v>
      </c>
      <c r="F23" s="241">
        <f t="shared" si="0"/>
        <v>104.76221427548391</v>
      </c>
    </row>
    <row r="24" spans="1:14" ht="14.1" customHeight="1" x14ac:dyDescent="0.2">
      <c r="A24" s="87">
        <v>18</v>
      </c>
      <c r="B24" s="90" t="s">
        <v>806</v>
      </c>
      <c r="C24" s="91" t="s">
        <v>807</v>
      </c>
      <c r="D24" s="67">
        <f>'8'!J33</f>
        <v>10396540</v>
      </c>
      <c r="E24" s="67">
        <f>'8'!N33</f>
        <v>10927710</v>
      </c>
      <c r="F24" s="92">
        <f t="shared" si="0"/>
        <v>105.10910360562265</v>
      </c>
    </row>
    <row r="25" spans="1:14" ht="14.1" customHeight="1" x14ac:dyDescent="0.2">
      <c r="A25" s="87">
        <v>19</v>
      </c>
      <c r="B25" s="90" t="s">
        <v>808</v>
      </c>
      <c r="C25" s="91" t="s">
        <v>809</v>
      </c>
      <c r="D25" s="67">
        <f>'33'!J36</f>
        <v>2296630</v>
      </c>
      <c r="E25" s="67">
        <f>'33'!N36</f>
        <v>2305030</v>
      </c>
      <c r="F25" s="92">
        <f t="shared" si="0"/>
        <v>100.36575329939956</v>
      </c>
      <c r="N25" s="65"/>
    </row>
    <row r="26" spans="1:14" ht="14.1" customHeight="1" x14ac:dyDescent="0.2">
      <c r="A26" s="87">
        <v>20</v>
      </c>
      <c r="B26" s="90" t="s">
        <v>810</v>
      </c>
      <c r="C26" s="91" t="s">
        <v>811</v>
      </c>
      <c r="D26" s="67">
        <f>'10'!J32+'11'!J31+'12'!J31+'13'!J31+'34'!J31+'35'!J31+'36'!J31</f>
        <v>4272880</v>
      </c>
      <c r="E26" s="67">
        <f>'10'!N32+'11'!N31+'12'!N31+'13'!N31+'34'!N31+'35'!N31+'36'!N31</f>
        <v>4472720</v>
      </c>
      <c r="F26" s="92">
        <f t="shared" si="0"/>
        <v>104.6769392072794</v>
      </c>
    </row>
    <row r="27" spans="1:14" ht="14.1" customHeight="1" x14ac:dyDescent="0.2">
      <c r="A27" s="87">
        <v>21</v>
      </c>
      <c r="B27" s="90" t="s">
        <v>812</v>
      </c>
      <c r="C27" s="91" t="s">
        <v>813</v>
      </c>
      <c r="D27" s="67">
        <v>0</v>
      </c>
      <c r="E27" s="67">
        <v>0</v>
      </c>
      <c r="F27" s="92" t="str">
        <f t="shared" si="0"/>
        <v/>
      </c>
    </row>
    <row r="28" spans="1:14" ht="14.1" customHeight="1" x14ac:dyDescent="0.2">
      <c r="A28" s="87">
        <v>22</v>
      </c>
      <c r="B28" s="90" t="s">
        <v>814</v>
      </c>
      <c r="C28" s="91" t="s">
        <v>815</v>
      </c>
      <c r="D28" s="67">
        <v>0</v>
      </c>
      <c r="E28" s="67">
        <v>0</v>
      </c>
      <c r="F28" s="92" t="str">
        <f t="shared" si="0"/>
        <v/>
      </c>
    </row>
    <row r="29" spans="1:14" ht="14.1" customHeight="1" x14ac:dyDescent="0.2">
      <c r="A29" s="87">
        <v>23</v>
      </c>
      <c r="B29" s="90" t="s">
        <v>816</v>
      </c>
      <c r="C29" s="91" t="s">
        <v>817</v>
      </c>
      <c r="D29" s="67">
        <f>'9'!J33</f>
        <v>419140</v>
      </c>
      <c r="E29" s="67">
        <f>'9'!N33</f>
        <v>507650</v>
      </c>
      <c r="F29" s="92">
        <f t="shared" si="0"/>
        <v>121.1170491959727</v>
      </c>
    </row>
    <row r="30" spans="1:14" ht="14.1" customHeight="1" x14ac:dyDescent="0.2">
      <c r="A30" s="235">
        <v>24</v>
      </c>
      <c r="B30" s="239" t="s">
        <v>818</v>
      </c>
      <c r="C30" s="240" t="s">
        <v>819</v>
      </c>
      <c r="D30" s="237">
        <f>SUM(D31:D39)</f>
        <v>11341060</v>
      </c>
      <c r="E30" s="237">
        <f>SUM(E31:E39)</f>
        <v>13490770</v>
      </c>
      <c r="F30" s="241">
        <f t="shared" si="0"/>
        <v>118.95510648916414</v>
      </c>
    </row>
    <row r="31" spans="1:14" ht="14.1" customHeight="1" x14ac:dyDescent="0.2">
      <c r="A31" s="87">
        <v>25</v>
      </c>
      <c r="B31" s="90" t="s">
        <v>820</v>
      </c>
      <c r="C31" s="91" t="s">
        <v>821</v>
      </c>
      <c r="D31" s="67">
        <v>0</v>
      </c>
      <c r="E31" s="67">
        <v>0</v>
      </c>
      <c r="F31" s="92" t="str">
        <f t="shared" si="0"/>
        <v/>
      </c>
    </row>
    <row r="32" spans="1:14" ht="14.1" customHeight="1" x14ac:dyDescent="0.2">
      <c r="A32" s="87">
        <v>26</v>
      </c>
      <c r="B32" s="90" t="s">
        <v>822</v>
      </c>
      <c r="C32" s="91" t="s">
        <v>823</v>
      </c>
      <c r="D32" s="67">
        <f>'19'!J41</f>
        <v>4053960</v>
      </c>
      <c r="E32" s="67">
        <f>'19'!N41</f>
        <v>4060100</v>
      </c>
      <c r="F32" s="92">
        <f t="shared" si="0"/>
        <v>100.15145684713218</v>
      </c>
    </row>
    <row r="33" spans="1:6" ht="14.1" customHeight="1" x14ac:dyDescent="0.2">
      <c r="A33" s="87">
        <v>27</v>
      </c>
      <c r="B33" s="90" t="s">
        <v>824</v>
      </c>
      <c r="C33" s="91" t="s">
        <v>825</v>
      </c>
      <c r="D33" s="67">
        <v>0</v>
      </c>
      <c r="E33" s="67">
        <v>0</v>
      </c>
      <c r="F33" s="92" t="str">
        <f t="shared" si="0"/>
        <v/>
      </c>
    </row>
    <row r="34" spans="1:6" ht="14.1" customHeight="1" x14ac:dyDescent="0.2">
      <c r="A34" s="87">
        <v>28</v>
      </c>
      <c r="B34" s="90" t="s">
        <v>826</v>
      </c>
      <c r="C34" s="91" t="s">
        <v>827</v>
      </c>
      <c r="D34" s="67">
        <v>0</v>
      </c>
      <c r="E34" s="67">
        <v>0</v>
      </c>
      <c r="F34" s="92" t="str">
        <f t="shared" si="0"/>
        <v/>
      </c>
    </row>
    <row r="35" spans="1:6" ht="14.1" customHeight="1" x14ac:dyDescent="0.2">
      <c r="A35" s="87">
        <v>29</v>
      </c>
      <c r="B35" s="90" t="s">
        <v>828</v>
      </c>
      <c r="C35" s="91" t="s">
        <v>829</v>
      </c>
      <c r="D35" s="67">
        <v>0</v>
      </c>
      <c r="E35" s="67">
        <v>0</v>
      </c>
      <c r="F35" s="92" t="str">
        <f t="shared" si="0"/>
        <v/>
      </c>
    </row>
    <row r="36" spans="1:6" ht="14.1" customHeight="1" x14ac:dyDescent="0.2">
      <c r="A36" s="87">
        <v>30</v>
      </c>
      <c r="B36" s="90" t="s">
        <v>830</v>
      </c>
      <c r="C36" s="91" t="s">
        <v>831</v>
      </c>
      <c r="D36" s="67">
        <v>0</v>
      </c>
      <c r="E36" s="67">
        <v>0</v>
      </c>
      <c r="F36" s="92" t="str">
        <f t="shared" si="0"/>
        <v/>
      </c>
    </row>
    <row r="37" spans="1:6" ht="14.1" customHeight="1" x14ac:dyDescent="0.2">
      <c r="A37" s="87">
        <v>31</v>
      </c>
      <c r="B37" s="90" t="s">
        <v>832</v>
      </c>
      <c r="C37" s="91" t="s">
        <v>833</v>
      </c>
      <c r="D37" s="67">
        <v>0</v>
      </c>
      <c r="E37" s="67">
        <v>0</v>
      </c>
      <c r="F37" s="92" t="str">
        <f t="shared" si="0"/>
        <v/>
      </c>
    </row>
    <row r="38" spans="1:6" ht="14.1" customHeight="1" x14ac:dyDescent="0.2">
      <c r="A38" s="87">
        <v>32</v>
      </c>
      <c r="B38" s="90" t="s">
        <v>834</v>
      </c>
      <c r="C38" s="91" t="s">
        <v>835</v>
      </c>
      <c r="D38" s="67">
        <v>0</v>
      </c>
      <c r="E38" s="67">
        <v>0</v>
      </c>
      <c r="F38" s="92" t="str">
        <f t="shared" si="0"/>
        <v/>
      </c>
    </row>
    <row r="39" spans="1:6" ht="14.1" customHeight="1" x14ac:dyDescent="0.2">
      <c r="A39" s="87">
        <v>33</v>
      </c>
      <c r="B39" s="90" t="s">
        <v>836</v>
      </c>
      <c r="C39" s="91" t="s">
        <v>837</v>
      </c>
      <c r="D39" s="67">
        <f>'15'!J40+'18'!J37+'32'!J31+'37'!J31</f>
        <v>7287100</v>
      </c>
      <c r="E39" s="67">
        <f>'15'!N40+'18'!N37+'32'!N31+'37'!N31</f>
        <v>9430670</v>
      </c>
      <c r="F39" s="92">
        <f t="shared" si="0"/>
        <v>129.41595422047178</v>
      </c>
    </row>
    <row r="40" spans="1:6" ht="14.1" customHeight="1" x14ac:dyDescent="0.2">
      <c r="A40" s="235">
        <v>34</v>
      </c>
      <c r="B40" s="239" t="s">
        <v>602</v>
      </c>
      <c r="C40" s="240" t="s">
        <v>838</v>
      </c>
      <c r="D40" s="237">
        <f>SUM(D41:D46)</f>
        <v>0</v>
      </c>
      <c r="E40" s="237">
        <f>SUM(E41:E46)</f>
        <v>0</v>
      </c>
      <c r="F40" s="241" t="str">
        <f t="shared" si="0"/>
        <v/>
      </c>
    </row>
    <row r="41" spans="1:6" ht="14.1" customHeight="1" x14ac:dyDescent="0.2">
      <c r="A41" s="87">
        <v>35</v>
      </c>
      <c r="B41" s="90" t="s">
        <v>839</v>
      </c>
      <c r="C41" s="91" t="s">
        <v>840</v>
      </c>
      <c r="D41" s="67">
        <v>0</v>
      </c>
      <c r="E41" s="67">
        <v>0</v>
      </c>
      <c r="F41" s="92" t="str">
        <f t="shared" si="0"/>
        <v/>
      </c>
    </row>
    <row r="42" spans="1:6" ht="14.1" customHeight="1" x14ac:dyDescent="0.2">
      <c r="A42" s="87">
        <v>36</v>
      </c>
      <c r="B42" s="90" t="s">
        <v>841</v>
      </c>
      <c r="C42" s="91" t="s">
        <v>842</v>
      </c>
      <c r="D42" s="67">
        <v>0</v>
      </c>
      <c r="E42" s="67">
        <v>0</v>
      </c>
      <c r="F42" s="92" t="str">
        <f t="shared" si="0"/>
        <v/>
      </c>
    </row>
    <row r="43" spans="1:6" ht="14.1" customHeight="1" x14ac:dyDescent="0.2">
      <c r="A43" s="87">
        <v>37</v>
      </c>
      <c r="B43" s="90" t="s">
        <v>843</v>
      </c>
      <c r="C43" s="91" t="s">
        <v>844</v>
      </c>
      <c r="D43" s="67">
        <v>0</v>
      </c>
      <c r="E43" s="67">
        <v>0</v>
      </c>
      <c r="F43" s="92" t="str">
        <f t="shared" si="0"/>
        <v/>
      </c>
    </row>
    <row r="44" spans="1:6" ht="14.1" customHeight="1" x14ac:dyDescent="0.2">
      <c r="A44" s="87">
        <v>38</v>
      </c>
      <c r="B44" s="90" t="s">
        <v>845</v>
      </c>
      <c r="C44" s="91" t="s">
        <v>846</v>
      </c>
      <c r="D44" s="67">
        <v>0</v>
      </c>
      <c r="E44" s="67">
        <v>0</v>
      </c>
      <c r="F44" s="92" t="str">
        <f t="shared" si="0"/>
        <v/>
      </c>
    </row>
    <row r="45" spans="1:6" ht="14.1" customHeight="1" x14ac:dyDescent="0.2">
      <c r="A45" s="87">
        <v>39</v>
      </c>
      <c r="B45" s="90" t="s">
        <v>847</v>
      </c>
      <c r="C45" s="91" t="s">
        <v>848</v>
      </c>
      <c r="D45" s="67">
        <v>0</v>
      </c>
      <c r="E45" s="67">
        <v>0</v>
      </c>
      <c r="F45" s="92" t="str">
        <f t="shared" si="0"/>
        <v/>
      </c>
    </row>
    <row r="46" spans="1:6" ht="14.1" customHeight="1" x14ac:dyDescent="0.2">
      <c r="A46" s="87">
        <v>40</v>
      </c>
      <c r="B46" s="90" t="s">
        <v>849</v>
      </c>
      <c r="C46" s="91" t="s">
        <v>850</v>
      </c>
      <c r="D46" s="67">
        <v>0</v>
      </c>
      <c r="E46" s="67">
        <v>0</v>
      </c>
      <c r="F46" s="92" t="str">
        <f t="shared" si="0"/>
        <v/>
      </c>
    </row>
    <row r="47" spans="1:6" ht="14.1" customHeight="1" x14ac:dyDescent="0.2">
      <c r="A47" s="235">
        <v>41</v>
      </c>
      <c r="B47" s="239" t="s">
        <v>606</v>
      </c>
      <c r="C47" s="240" t="s">
        <v>851</v>
      </c>
      <c r="D47" s="237">
        <f>SUM(D48:D53)</f>
        <v>0</v>
      </c>
      <c r="E47" s="237">
        <f>SUM(E48:E53)</f>
        <v>0</v>
      </c>
      <c r="F47" s="241" t="str">
        <f t="shared" si="0"/>
        <v/>
      </c>
    </row>
    <row r="48" spans="1:6" ht="14.1" customHeight="1" x14ac:dyDescent="0.2">
      <c r="A48" s="87">
        <v>42</v>
      </c>
      <c r="B48" s="90" t="s">
        <v>852</v>
      </c>
      <c r="C48" s="91" t="s">
        <v>853</v>
      </c>
      <c r="D48" s="67">
        <v>0</v>
      </c>
      <c r="E48" s="67">
        <v>0</v>
      </c>
      <c r="F48" s="92" t="str">
        <f t="shared" si="0"/>
        <v/>
      </c>
    </row>
    <row r="49" spans="1:6" ht="14.1" customHeight="1" x14ac:dyDescent="0.2">
      <c r="A49" s="87">
        <v>43</v>
      </c>
      <c r="B49" s="90" t="s">
        <v>854</v>
      </c>
      <c r="C49" s="91" t="s">
        <v>855</v>
      </c>
      <c r="D49" s="67">
        <v>0</v>
      </c>
      <c r="E49" s="67">
        <v>0</v>
      </c>
      <c r="F49" s="92" t="str">
        <f t="shared" si="0"/>
        <v/>
      </c>
    </row>
    <row r="50" spans="1:6" ht="14.1" customHeight="1" x14ac:dyDescent="0.2">
      <c r="A50" s="87">
        <v>44</v>
      </c>
      <c r="B50" s="90" t="s">
        <v>856</v>
      </c>
      <c r="C50" s="91" t="s">
        <v>857</v>
      </c>
      <c r="D50" s="67">
        <v>0</v>
      </c>
      <c r="E50" s="67">
        <v>0</v>
      </c>
      <c r="F50" s="92" t="str">
        <f t="shared" si="0"/>
        <v/>
      </c>
    </row>
    <row r="51" spans="1:6" ht="14.1" customHeight="1" x14ac:dyDescent="0.2">
      <c r="A51" s="87">
        <v>45</v>
      </c>
      <c r="B51" s="90" t="s">
        <v>858</v>
      </c>
      <c r="C51" s="91" t="s">
        <v>859</v>
      </c>
      <c r="D51" s="67">
        <v>0</v>
      </c>
      <c r="E51" s="67">
        <v>0</v>
      </c>
      <c r="F51" s="92" t="str">
        <f t="shared" si="0"/>
        <v/>
      </c>
    </row>
    <row r="52" spans="1:6" ht="14.1" customHeight="1" x14ac:dyDescent="0.2">
      <c r="A52" s="87">
        <v>46</v>
      </c>
      <c r="B52" s="90" t="s">
        <v>860</v>
      </c>
      <c r="C52" s="91" t="s">
        <v>861</v>
      </c>
      <c r="D52" s="67">
        <v>0</v>
      </c>
      <c r="E52" s="67">
        <v>0</v>
      </c>
      <c r="F52" s="92" t="str">
        <f t="shared" si="0"/>
        <v/>
      </c>
    </row>
    <row r="53" spans="1:6" ht="14.1" customHeight="1" x14ac:dyDescent="0.2">
      <c r="A53" s="87">
        <v>47</v>
      </c>
      <c r="B53" s="90" t="s">
        <v>862</v>
      </c>
      <c r="C53" s="91" t="s">
        <v>863</v>
      </c>
      <c r="D53" s="67">
        <v>0</v>
      </c>
      <c r="E53" s="67">
        <v>0</v>
      </c>
      <c r="F53" s="92" t="str">
        <f t="shared" si="0"/>
        <v/>
      </c>
    </row>
    <row r="54" spans="1:6" ht="14.1" customHeight="1" x14ac:dyDescent="0.2">
      <c r="A54" s="235">
        <v>48</v>
      </c>
      <c r="B54" s="239" t="s">
        <v>608</v>
      </c>
      <c r="C54" s="240" t="s">
        <v>864</v>
      </c>
      <c r="D54" s="237">
        <f>SUM(D55:D60)</f>
        <v>0</v>
      </c>
      <c r="E54" s="237">
        <f>SUM(E55:E60)</f>
        <v>0</v>
      </c>
      <c r="F54" s="241" t="str">
        <f t="shared" si="0"/>
        <v/>
      </c>
    </row>
    <row r="55" spans="1:6" ht="14.1" customHeight="1" x14ac:dyDescent="0.2">
      <c r="A55" s="87">
        <v>49</v>
      </c>
      <c r="B55" s="90" t="s">
        <v>865</v>
      </c>
      <c r="C55" s="91" t="s">
        <v>866</v>
      </c>
      <c r="D55" s="67">
        <v>0</v>
      </c>
      <c r="E55" s="67">
        <v>0</v>
      </c>
      <c r="F55" s="92" t="str">
        <f t="shared" si="0"/>
        <v/>
      </c>
    </row>
    <row r="56" spans="1:6" ht="14.1" customHeight="1" x14ac:dyDescent="0.2">
      <c r="A56" s="87">
        <v>50</v>
      </c>
      <c r="B56" s="90" t="s">
        <v>867</v>
      </c>
      <c r="C56" s="91" t="s">
        <v>868</v>
      </c>
      <c r="D56" s="67">
        <v>0</v>
      </c>
      <c r="E56" s="67">
        <v>0</v>
      </c>
      <c r="F56" s="92" t="str">
        <f t="shared" si="0"/>
        <v/>
      </c>
    </row>
    <row r="57" spans="1:6" ht="14.1" customHeight="1" x14ac:dyDescent="0.2">
      <c r="A57" s="87">
        <v>51</v>
      </c>
      <c r="B57" s="90" t="s">
        <v>869</v>
      </c>
      <c r="C57" s="91" t="s">
        <v>870</v>
      </c>
      <c r="D57" s="67">
        <v>0</v>
      </c>
      <c r="E57" s="67">
        <v>0</v>
      </c>
      <c r="F57" s="92" t="str">
        <f t="shared" si="0"/>
        <v/>
      </c>
    </row>
    <row r="58" spans="1:6" ht="14.1" customHeight="1" x14ac:dyDescent="0.2">
      <c r="A58" s="87">
        <v>52</v>
      </c>
      <c r="B58" s="90" t="s">
        <v>871</v>
      </c>
      <c r="C58" s="91" t="s">
        <v>872</v>
      </c>
      <c r="D58" s="67">
        <v>0</v>
      </c>
      <c r="E58" s="67">
        <v>0</v>
      </c>
      <c r="F58" s="92" t="str">
        <f t="shared" si="0"/>
        <v/>
      </c>
    </row>
    <row r="59" spans="1:6" ht="14.1" customHeight="1" x14ac:dyDescent="0.2">
      <c r="A59" s="87">
        <v>53</v>
      </c>
      <c r="B59" s="90" t="s">
        <v>873</v>
      </c>
      <c r="C59" s="91" t="s">
        <v>874</v>
      </c>
      <c r="D59" s="67">
        <v>0</v>
      </c>
      <c r="E59" s="67">
        <v>0</v>
      </c>
      <c r="F59" s="92" t="str">
        <f t="shared" si="0"/>
        <v/>
      </c>
    </row>
    <row r="60" spans="1:6" ht="14.1" customHeight="1" x14ac:dyDescent="0.2">
      <c r="A60" s="87">
        <v>54</v>
      </c>
      <c r="B60" s="90" t="s">
        <v>875</v>
      </c>
      <c r="C60" s="91" t="s">
        <v>876</v>
      </c>
      <c r="D60" s="67">
        <v>0</v>
      </c>
      <c r="E60" s="67">
        <v>0</v>
      </c>
      <c r="F60" s="92" t="str">
        <f t="shared" si="0"/>
        <v/>
      </c>
    </row>
    <row r="61" spans="1:6" x14ac:dyDescent="0.2">
      <c r="A61" s="235">
        <v>55</v>
      </c>
      <c r="B61" s="239" t="s">
        <v>877</v>
      </c>
      <c r="C61" s="240" t="s">
        <v>878</v>
      </c>
      <c r="D61" s="237">
        <f>SUM(D62:D67)</f>
        <v>1310000</v>
      </c>
      <c r="E61" s="237">
        <f>SUM(E62:E67)</f>
        <v>1350000</v>
      </c>
      <c r="F61" s="241">
        <f t="shared" si="0"/>
        <v>103.05343511450383</v>
      </c>
    </row>
    <row r="62" spans="1:6" x14ac:dyDescent="0.2">
      <c r="A62" s="87">
        <v>56</v>
      </c>
      <c r="B62" s="90" t="s">
        <v>879</v>
      </c>
      <c r="C62" s="91" t="s">
        <v>880</v>
      </c>
      <c r="D62" s="67">
        <f>'20'!J38</f>
        <v>450000</v>
      </c>
      <c r="E62" s="67">
        <f>'20'!N38</f>
        <v>450000</v>
      </c>
      <c r="F62" s="92">
        <f t="shared" si="0"/>
        <v>100</v>
      </c>
    </row>
    <row r="63" spans="1:6" x14ac:dyDescent="0.2">
      <c r="A63" s="87">
        <v>57</v>
      </c>
      <c r="B63" s="90" t="s">
        <v>881</v>
      </c>
      <c r="C63" s="91" t="s">
        <v>882</v>
      </c>
      <c r="D63" s="67">
        <f>'20'!J39</f>
        <v>150000</v>
      </c>
      <c r="E63" s="67">
        <f>'20'!N39</f>
        <v>150000</v>
      </c>
      <c r="F63" s="92">
        <f t="shared" si="0"/>
        <v>100</v>
      </c>
    </row>
    <row r="64" spans="1:6" x14ac:dyDescent="0.2">
      <c r="A64" s="87">
        <v>58</v>
      </c>
      <c r="B64" s="90" t="s">
        <v>883</v>
      </c>
      <c r="C64" s="91" t="s">
        <v>884</v>
      </c>
      <c r="D64" s="67">
        <f>'20'!J36</f>
        <v>410000</v>
      </c>
      <c r="E64" s="67">
        <f>'20'!N36</f>
        <v>450000</v>
      </c>
      <c r="F64" s="92">
        <f t="shared" si="0"/>
        <v>109.75609756097562</v>
      </c>
    </row>
    <row r="65" spans="1:6" x14ac:dyDescent="0.2">
      <c r="A65" s="87">
        <v>59</v>
      </c>
      <c r="B65" s="90" t="s">
        <v>885</v>
      </c>
      <c r="C65" s="91" t="s">
        <v>886</v>
      </c>
      <c r="D65" s="67">
        <f>'20'!J37</f>
        <v>300000</v>
      </c>
      <c r="E65" s="67">
        <f>'20'!N37</f>
        <v>300000</v>
      </c>
      <c r="F65" s="92">
        <f t="shared" si="0"/>
        <v>100</v>
      </c>
    </row>
    <row r="66" spans="1:6" x14ac:dyDescent="0.2">
      <c r="A66" s="87">
        <v>60</v>
      </c>
      <c r="B66" s="90" t="s">
        <v>887</v>
      </c>
      <c r="C66" s="91" t="s">
        <v>888</v>
      </c>
      <c r="D66" s="67">
        <v>0</v>
      </c>
      <c r="E66" s="67">
        <v>0</v>
      </c>
      <c r="F66" s="92" t="str">
        <f t="shared" si="0"/>
        <v/>
      </c>
    </row>
    <row r="67" spans="1:6" x14ac:dyDescent="0.2">
      <c r="A67" s="87">
        <v>61</v>
      </c>
      <c r="B67" s="90" t="s">
        <v>889</v>
      </c>
      <c r="C67" s="91" t="s">
        <v>890</v>
      </c>
      <c r="D67" s="67">
        <v>0</v>
      </c>
      <c r="E67" s="67">
        <v>0</v>
      </c>
      <c r="F67" s="92" t="str">
        <f t="shared" si="0"/>
        <v/>
      </c>
    </row>
    <row r="68" spans="1:6" x14ac:dyDescent="0.2">
      <c r="A68" s="235">
        <v>62</v>
      </c>
      <c r="B68" s="239" t="s">
        <v>891</v>
      </c>
      <c r="C68" s="240" t="s">
        <v>892</v>
      </c>
      <c r="D68" s="237">
        <f>SUM(D69:D76)</f>
        <v>20116360</v>
      </c>
      <c r="E68" s="237">
        <f>SUM(E69:E76)</f>
        <v>20712650</v>
      </c>
      <c r="F68" s="241">
        <f t="shared" si="0"/>
        <v>102.96420425961755</v>
      </c>
    </row>
    <row r="69" spans="1:6" x14ac:dyDescent="0.2">
      <c r="A69" s="87">
        <v>63</v>
      </c>
      <c r="B69" s="90" t="s">
        <v>893</v>
      </c>
      <c r="C69" s="91" t="s">
        <v>894</v>
      </c>
      <c r="D69" s="67">
        <f>'24'!J31+'25'!J31+'26'!J31+'27'!J31+'28'!J31+'29'!J31+'30'!J31+'20'!J20</f>
        <v>12079916</v>
      </c>
      <c r="E69" s="67">
        <f>'24'!N31+'25'!N31+'26'!N31+'27'!N31+'28'!N31+'29'!N31+'30'!N31+'20'!N20</f>
        <v>12495660</v>
      </c>
      <c r="F69" s="92">
        <f t="shared" si="0"/>
        <v>103.44161333572185</v>
      </c>
    </row>
    <row r="70" spans="1:6" x14ac:dyDescent="0.2">
      <c r="A70" s="87">
        <v>64</v>
      </c>
      <c r="B70" s="90" t="s">
        <v>895</v>
      </c>
      <c r="C70" s="91" t="s">
        <v>896</v>
      </c>
      <c r="D70" s="67">
        <f>'21'!J31+'22'!J31+'23'!J31</f>
        <v>4792920</v>
      </c>
      <c r="E70" s="67">
        <f>'21'!N31+'22'!N31+'23'!N31</f>
        <v>4937450</v>
      </c>
      <c r="F70" s="92">
        <f t="shared" si="0"/>
        <v>103.01548951369936</v>
      </c>
    </row>
    <row r="71" spans="1:6" x14ac:dyDescent="0.2">
      <c r="A71" s="87">
        <v>65</v>
      </c>
      <c r="B71" s="90" t="s">
        <v>897</v>
      </c>
      <c r="C71" s="91" t="s">
        <v>898</v>
      </c>
      <c r="D71" s="67">
        <v>0</v>
      </c>
      <c r="E71" s="67">
        <v>0</v>
      </c>
      <c r="F71" s="92" t="str">
        <f t="shared" si="0"/>
        <v/>
      </c>
    </row>
    <row r="72" spans="1:6" x14ac:dyDescent="0.2">
      <c r="A72" s="87">
        <v>66</v>
      </c>
      <c r="B72" s="90" t="s">
        <v>899</v>
      </c>
      <c r="C72" s="91" t="s">
        <v>900</v>
      </c>
      <c r="D72" s="67">
        <f>'20'!J31+'20'!J33</f>
        <v>306000</v>
      </c>
      <c r="E72" s="67">
        <f>'20'!N31+'20'!N33</f>
        <v>320000</v>
      </c>
      <c r="F72" s="92">
        <f t="shared" si="0"/>
        <v>104.57516339869282</v>
      </c>
    </row>
    <row r="73" spans="1:6" x14ac:dyDescent="0.2">
      <c r="A73" s="87">
        <v>67</v>
      </c>
      <c r="B73" s="90" t="s">
        <v>901</v>
      </c>
      <c r="C73" s="91" t="s">
        <v>902</v>
      </c>
      <c r="D73" s="67">
        <v>0</v>
      </c>
      <c r="E73" s="67">
        <v>0</v>
      </c>
      <c r="F73" s="92" t="str">
        <f t="shared" si="0"/>
        <v/>
      </c>
    </row>
    <row r="74" spans="1:6" x14ac:dyDescent="0.2">
      <c r="A74" s="87">
        <v>68</v>
      </c>
      <c r="B74" s="90" t="s">
        <v>903</v>
      </c>
      <c r="C74" s="91" t="s">
        <v>904</v>
      </c>
      <c r="D74" s="67">
        <v>0</v>
      </c>
      <c r="E74" s="67">
        <v>0</v>
      </c>
      <c r="F74" s="92" t="str">
        <f t="shared" ref="F74:F86" si="1">IF(D74=0,"",E74/D74*100)</f>
        <v/>
      </c>
    </row>
    <row r="75" spans="1:6" x14ac:dyDescent="0.2">
      <c r="A75" s="87">
        <v>69</v>
      </c>
      <c r="B75" s="90" t="s">
        <v>905</v>
      </c>
      <c r="C75" s="91" t="s">
        <v>906</v>
      </c>
      <c r="D75" s="67">
        <v>0</v>
      </c>
      <c r="E75" s="67">
        <v>0</v>
      </c>
      <c r="F75" s="92" t="str">
        <f t="shared" si="1"/>
        <v/>
      </c>
    </row>
    <row r="76" spans="1:6" x14ac:dyDescent="0.2">
      <c r="A76" s="87">
        <v>70</v>
      </c>
      <c r="B76" s="90" t="s">
        <v>907</v>
      </c>
      <c r="C76" s="91" t="s">
        <v>908</v>
      </c>
      <c r="D76" s="67">
        <f>'20'!J46-'20'!J31-'20'!J33-'20'!J36-'20'!J37-'20'!J38-'20'!J39-'20'!J20</f>
        <v>2937524</v>
      </c>
      <c r="E76" s="67">
        <f>'20'!N46-'20'!N31-'20'!N33-'20'!N36-'20'!N37-'20'!N38-'20'!N39-'20'!N20</f>
        <v>2959540</v>
      </c>
      <c r="F76" s="92">
        <f t="shared" si="1"/>
        <v>100.74947472769584</v>
      </c>
    </row>
    <row r="77" spans="1:6" x14ac:dyDescent="0.2">
      <c r="A77" s="235">
        <v>71</v>
      </c>
      <c r="B77" s="239" t="s">
        <v>909</v>
      </c>
      <c r="C77" s="236" t="s">
        <v>910</v>
      </c>
      <c r="D77" s="237">
        <f>SUM(D78:D86)</f>
        <v>8125130</v>
      </c>
      <c r="E77" s="237">
        <f>SUM(E78:E86)</f>
        <v>8909270</v>
      </c>
      <c r="F77" s="241">
        <f t="shared" si="1"/>
        <v>109.65079943336291</v>
      </c>
    </row>
    <row r="78" spans="1:6" x14ac:dyDescent="0.2">
      <c r="A78" s="87">
        <v>72</v>
      </c>
      <c r="B78" s="90" t="s">
        <v>911</v>
      </c>
      <c r="C78" s="91" t="s">
        <v>912</v>
      </c>
      <c r="D78" s="67">
        <v>0</v>
      </c>
      <c r="E78" s="67">
        <v>0</v>
      </c>
      <c r="F78" s="92" t="str">
        <f t="shared" si="1"/>
        <v/>
      </c>
    </row>
    <row r="79" spans="1:6" x14ac:dyDescent="0.2">
      <c r="A79" s="87">
        <v>73</v>
      </c>
      <c r="B79" s="90" t="s">
        <v>913</v>
      </c>
      <c r="C79" s="91" t="s">
        <v>914</v>
      </c>
      <c r="D79" s="67">
        <v>0</v>
      </c>
      <c r="E79" s="67">
        <v>0</v>
      </c>
      <c r="F79" s="92" t="str">
        <f t="shared" si="1"/>
        <v/>
      </c>
    </row>
    <row r="80" spans="1:6" x14ac:dyDescent="0.2">
      <c r="A80" s="87">
        <v>74</v>
      </c>
      <c r="B80" s="90" t="s">
        <v>915</v>
      </c>
      <c r="C80" s="91" t="s">
        <v>916</v>
      </c>
      <c r="D80" s="67">
        <v>0</v>
      </c>
      <c r="E80" s="67">
        <v>0</v>
      </c>
      <c r="F80" s="92" t="str">
        <f t="shared" si="1"/>
        <v/>
      </c>
    </row>
    <row r="81" spans="1:6" x14ac:dyDescent="0.2">
      <c r="A81" s="87">
        <v>75</v>
      </c>
      <c r="B81" s="90" t="s">
        <v>917</v>
      </c>
      <c r="C81" s="91" t="s">
        <v>918</v>
      </c>
      <c r="D81" s="67">
        <v>0</v>
      </c>
      <c r="E81" s="67">
        <v>0</v>
      </c>
      <c r="F81" s="92" t="str">
        <f t="shared" si="1"/>
        <v/>
      </c>
    </row>
    <row r="82" spans="1:6" x14ac:dyDescent="0.2">
      <c r="A82" s="87">
        <v>76</v>
      </c>
      <c r="B82" s="90" t="s">
        <v>919</v>
      </c>
      <c r="C82" s="91" t="s">
        <v>920</v>
      </c>
      <c r="D82" s="67">
        <v>0</v>
      </c>
      <c r="E82" s="67">
        <v>0</v>
      </c>
      <c r="F82" s="92" t="str">
        <f t="shared" si="1"/>
        <v/>
      </c>
    </row>
    <row r="83" spans="1:6" x14ac:dyDescent="0.2">
      <c r="A83" s="87">
        <v>77</v>
      </c>
      <c r="B83" s="90" t="s">
        <v>921</v>
      </c>
      <c r="C83" s="91" t="s">
        <v>922</v>
      </c>
      <c r="D83" s="67">
        <v>0</v>
      </c>
      <c r="E83" s="67">
        <v>0</v>
      </c>
      <c r="F83" s="92" t="str">
        <f t="shared" si="1"/>
        <v/>
      </c>
    </row>
    <row r="84" spans="1:6" x14ac:dyDescent="0.2">
      <c r="A84" s="87">
        <v>78</v>
      </c>
      <c r="B84" s="90" t="s">
        <v>923</v>
      </c>
      <c r="C84" s="91" t="s">
        <v>924</v>
      </c>
      <c r="D84" s="67">
        <v>0</v>
      </c>
      <c r="E84" s="67">
        <v>0</v>
      </c>
      <c r="F84" s="92" t="str">
        <f t="shared" si="1"/>
        <v/>
      </c>
    </row>
    <row r="85" spans="1:6" x14ac:dyDescent="0.2">
      <c r="A85" s="87">
        <v>79</v>
      </c>
      <c r="B85" s="90" t="s">
        <v>925</v>
      </c>
      <c r="C85" s="91" t="s">
        <v>926</v>
      </c>
      <c r="D85" s="67">
        <v>0</v>
      </c>
      <c r="E85" s="67">
        <v>0</v>
      </c>
      <c r="F85" s="92" t="str">
        <f t="shared" si="1"/>
        <v/>
      </c>
    </row>
    <row r="86" spans="1:6" x14ac:dyDescent="0.2">
      <c r="A86" s="87">
        <v>80</v>
      </c>
      <c r="B86" s="90" t="s">
        <v>927</v>
      </c>
      <c r="C86" s="91" t="s">
        <v>928</v>
      </c>
      <c r="D86" s="67">
        <f>'17'!J37+'31'!J34</f>
        <v>8125130</v>
      </c>
      <c r="E86" s="67">
        <f>'17'!N37+'31'!N34</f>
        <v>8909270</v>
      </c>
      <c r="F86" s="92">
        <f t="shared" si="1"/>
        <v>109.65079943336291</v>
      </c>
    </row>
    <row r="87" spans="1:6" x14ac:dyDescent="0.2">
      <c r="A87" s="49"/>
      <c r="B87" s="49"/>
      <c r="C87" s="49"/>
      <c r="D87" s="49"/>
      <c r="E87" s="49"/>
      <c r="F87" s="49"/>
    </row>
    <row r="88" spans="1:6" x14ac:dyDescent="0.2">
      <c r="A88" s="49"/>
      <c r="B88" s="49"/>
      <c r="C88" s="49"/>
      <c r="D88" s="49"/>
      <c r="E88" s="49"/>
      <c r="F88" s="49"/>
    </row>
    <row r="89" spans="1:6" x14ac:dyDescent="0.2">
      <c r="A89" s="49"/>
      <c r="B89" s="49"/>
      <c r="C89" s="49"/>
      <c r="D89" s="49"/>
      <c r="E89" s="49"/>
      <c r="F89" s="49"/>
    </row>
    <row r="90" spans="1:6" x14ac:dyDescent="0.2">
      <c r="A90" s="49"/>
      <c r="B90" s="49"/>
      <c r="C90" s="49"/>
      <c r="D90" s="49"/>
      <c r="E90" s="49"/>
      <c r="F90" s="49"/>
    </row>
    <row r="91" spans="1:6" x14ac:dyDescent="0.2">
      <c r="A91" s="49"/>
      <c r="B91" s="49"/>
      <c r="C91" s="49"/>
      <c r="D91" s="49"/>
      <c r="E91" s="49"/>
      <c r="F91" s="49"/>
    </row>
    <row r="92" spans="1:6" x14ac:dyDescent="0.2">
      <c r="A92" s="49"/>
      <c r="B92" s="49"/>
      <c r="C92" s="49"/>
      <c r="D92" s="49"/>
      <c r="E92" s="49"/>
      <c r="F92" s="49"/>
    </row>
    <row r="93" spans="1:6" x14ac:dyDescent="0.2">
      <c r="A93" s="49"/>
      <c r="B93" s="49"/>
      <c r="C93" s="49"/>
      <c r="D93" s="49"/>
      <c r="E93" s="49"/>
      <c r="F93" s="49"/>
    </row>
    <row r="94" spans="1:6" x14ac:dyDescent="0.2">
      <c r="A94" s="49"/>
      <c r="B94" s="49"/>
      <c r="C94" s="49"/>
      <c r="D94" s="49"/>
      <c r="E94" s="49"/>
      <c r="F94" s="49"/>
    </row>
    <row r="95" spans="1:6" x14ac:dyDescent="0.2">
      <c r="A95" s="49"/>
      <c r="B95" s="49"/>
      <c r="C95" s="49"/>
      <c r="D95" s="49"/>
      <c r="E95" s="49"/>
      <c r="F95" s="49"/>
    </row>
    <row r="96" spans="1:6" x14ac:dyDescent="0.2">
      <c r="A96" s="49"/>
      <c r="B96" s="49"/>
      <c r="C96" s="49"/>
      <c r="D96" s="49"/>
      <c r="E96" s="49"/>
      <c r="F96" s="49"/>
    </row>
    <row r="97" spans="1:6" x14ac:dyDescent="0.2">
      <c r="A97" s="49"/>
      <c r="B97" s="49"/>
      <c r="C97" s="49"/>
      <c r="D97" s="49"/>
      <c r="E97" s="49"/>
      <c r="F97" s="49"/>
    </row>
    <row r="98" spans="1:6" x14ac:dyDescent="0.2">
      <c r="A98" s="49"/>
      <c r="B98" s="49"/>
      <c r="C98" s="49"/>
      <c r="D98" s="49"/>
      <c r="E98" s="49"/>
      <c r="F98" s="49"/>
    </row>
    <row r="99" spans="1:6" x14ac:dyDescent="0.2">
      <c r="A99" s="49"/>
      <c r="B99" s="49"/>
      <c r="C99" s="49"/>
      <c r="D99" s="49"/>
      <c r="E99" s="49"/>
      <c r="F99" s="49"/>
    </row>
    <row r="100" spans="1:6" x14ac:dyDescent="0.2">
      <c r="A100" s="49"/>
      <c r="B100" s="49"/>
      <c r="C100" s="49"/>
      <c r="D100" s="49"/>
      <c r="E100" s="49"/>
      <c r="F100" s="49"/>
    </row>
    <row r="101" spans="1:6" x14ac:dyDescent="0.2">
      <c r="A101" s="49"/>
      <c r="B101" s="49"/>
      <c r="C101" s="49"/>
      <c r="D101" s="49"/>
      <c r="E101" s="49"/>
      <c r="F101" s="49"/>
    </row>
    <row r="102" spans="1:6" x14ac:dyDescent="0.2">
      <c r="A102" s="49"/>
      <c r="B102" s="49"/>
      <c r="C102" s="49"/>
      <c r="D102" s="49"/>
      <c r="E102" s="49"/>
      <c r="F102" s="49"/>
    </row>
    <row r="103" spans="1:6" x14ac:dyDescent="0.2">
      <c r="A103" s="49"/>
      <c r="B103" s="49"/>
      <c r="C103" s="49"/>
      <c r="D103" s="49"/>
      <c r="E103" s="49"/>
      <c r="F103" s="49"/>
    </row>
    <row r="104" spans="1:6" x14ac:dyDescent="0.2">
      <c r="A104" s="49"/>
      <c r="B104" s="49"/>
      <c r="C104" s="49"/>
      <c r="D104" s="49"/>
      <c r="E104" s="49"/>
      <c r="F104" s="49"/>
    </row>
    <row r="105" spans="1:6" x14ac:dyDescent="0.2">
      <c r="A105" s="49"/>
      <c r="B105" s="49"/>
      <c r="C105" s="49"/>
      <c r="D105" s="49"/>
      <c r="E105" s="49"/>
      <c r="F105" s="49"/>
    </row>
    <row r="106" spans="1:6" x14ac:dyDescent="0.2">
      <c r="A106" s="49"/>
      <c r="B106" s="49"/>
      <c r="C106" s="49"/>
      <c r="D106" s="49"/>
      <c r="E106" s="49"/>
      <c r="F106" s="49"/>
    </row>
    <row r="107" spans="1:6" x14ac:dyDescent="0.2">
      <c r="A107" s="49"/>
      <c r="B107" s="49"/>
      <c r="C107" s="49"/>
      <c r="D107" s="49"/>
      <c r="E107" s="49"/>
      <c r="F107" s="49"/>
    </row>
    <row r="108" spans="1:6" x14ac:dyDescent="0.2">
      <c r="A108" s="49"/>
      <c r="B108" s="49"/>
      <c r="C108" s="49"/>
      <c r="D108" s="49"/>
      <c r="E108" s="49"/>
      <c r="F108" s="49"/>
    </row>
    <row r="109" spans="1:6" x14ac:dyDescent="0.2">
      <c r="A109" s="49"/>
      <c r="B109" s="49"/>
      <c r="C109" s="49"/>
      <c r="D109" s="49"/>
      <c r="E109" s="49"/>
      <c r="F109" s="49"/>
    </row>
    <row r="110" spans="1:6" x14ac:dyDescent="0.2">
      <c r="A110" s="49"/>
      <c r="B110" s="49"/>
      <c r="C110" s="49"/>
      <c r="D110" s="49"/>
      <c r="E110" s="49"/>
      <c r="F110" s="49"/>
    </row>
    <row r="111" spans="1:6" x14ac:dyDescent="0.2">
      <c r="A111" s="49"/>
      <c r="B111" s="49"/>
      <c r="C111" s="49"/>
      <c r="D111" s="49"/>
      <c r="E111" s="49"/>
      <c r="F111" s="49"/>
    </row>
    <row r="112" spans="1:6" x14ac:dyDescent="0.2">
      <c r="A112" s="49"/>
      <c r="B112" s="49"/>
      <c r="C112" s="49"/>
      <c r="D112" s="49"/>
      <c r="E112" s="49"/>
      <c r="F112" s="49"/>
    </row>
    <row r="113" spans="1:6" x14ac:dyDescent="0.2">
      <c r="A113" s="49"/>
      <c r="B113" s="49"/>
      <c r="C113" s="49"/>
      <c r="D113" s="49"/>
      <c r="E113" s="49"/>
      <c r="F113" s="49"/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/>
      <c r="B115" s="49"/>
      <c r="C115" s="49"/>
      <c r="D115" s="49"/>
      <c r="E115" s="49"/>
      <c r="F115" s="49"/>
    </row>
    <row r="116" spans="1:6" x14ac:dyDescent="0.2">
      <c r="A116" s="49"/>
      <c r="B116" s="49"/>
      <c r="C116" s="49"/>
      <c r="D116" s="49"/>
      <c r="E116" s="49"/>
      <c r="F116" s="49"/>
    </row>
    <row r="117" spans="1:6" x14ac:dyDescent="0.2">
      <c r="A117" s="49"/>
      <c r="B117" s="49"/>
      <c r="C117" s="49"/>
      <c r="D117" s="49"/>
      <c r="E117" s="49"/>
      <c r="F117" s="49"/>
    </row>
    <row r="118" spans="1:6" x14ac:dyDescent="0.2">
      <c r="A118" s="49"/>
      <c r="B118" s="49"/>
      <c r="C118" s="49"/>
      <c r="D118" s="49"/>
      <c r="E118" s="49"/>
      <c r="F118" s="49"/>
    </row>
    <row r="119" spans="1:6" x14ac:dyDescent="0.2">
      <c r="A119" s="49"/>
      <c r="B119" s="49"/>
      <c r="C119" s="49"/>
      <c r="D119" s="49"/>
      <c r="E119" s="49"/>
      <c r="F119" s="49"/>
    </row>
  </sheetData>
  <mergeCells count="1">
    <mergeCell ref="A2:F2"/>
  </mergeCells>
  <phoneticPr fontId="0" type="noConversion"/>
  <pageMargins left="0.98425196850393704" right="0.31496062992125984" top="0.55118110236220474" bottom="0.9055118110236221" header="0.51181102362204722" footer="0.31496062992125984"/>
  <pageSetup paperSize="9" scale="80" firstPageNumber="3" orientation="landscape" r:id="rId1"/>
  <headerFooter alignWithMargins="0">
    <oddFooter>&amp;R&amp;P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List8"/>
  <dimension ref="A1:N45"/>
  <sheetViews>
    <sheetView zoomScaleNormal="100" workbookViewId="0">
      <selection activeCell="N25" sqref="N25"/>
    </sheetView>
  </sheetViews>
  <sheetFormatPr defaultRowHeight="12.75" x14ac:dyDescent="0.2"/>
  <cols>
    <col min="1" max="1" width="15.7109375" style="34" customWidth="1"/>
    <col min="2" max="2" width="82.28515625" customWidth="1"/>
    <col min="3" max="6" width="18.7109375" customWidth="1"/>
  </cols>
  <sheetData>
    <row r="1" spans="1:6" ht="7.5" customHeight="1" x14ac:dyDescent="0.2"/>
    <row r="2" spans="1:6" ht="15.75" x14ac:dyDescent="0.25">
      <c r="A2" s="611" t="s">
        <v>929</v>
      </c>
      <c r="B2" s="669"/>
      <c r="C2" s="669"/>
      <c r="D2" s="669"/>
      <c r="E2" s="669"/>
      <c r="F2" s="669"/>
    </row>
    <row r="3" spans="1:6" ht="6.75" customHeight="1" x14ac:dyDescent="0.2"/>
    <row r="4" spans="1:6" s="39" customFormat="1" ht="12.75" customHeight="1" x14ac:dyDescent="0.2">
      <c r="A4" s="674" t="s">
        <v>733</v>
      </c>
      <c r="B4" s="674" t="s">
        <v>734</v>
      </c>
      <c r="C4" s="674" t="s">
        <v>152</v>
      </c>
      <c r="D4" s="671" t="s">
        <v>930</v>
      </c>
      <c r="E4" s="672"/>
      <c r="F4" s="673"/>
    </row>
    <row r="5" spans="1:6" s="39" customFormat="1" ht="57.75" customHeight="1" x14ac:dyDescent="0.2">
      <c r="A5" s="675"/>
      <c r="B5" s="675"/>
      <c r="C5" s="675"/>
      <c r="D5" s="76" t="s">
        <v>931</v>
      </c>
      <c r="E5" s="76" t="s">
        <v>932</v>
      </c>
      <c r="F5" s="76" t="s">
        <v>933</v>
      </c>
    </row>
    <row r="6" spans="1:6" s="39" customFormat="1" x14ac:dyDescent="0.2">
      <c r="A6" s="76">
        <v>1</v>
      </c>
      <c r="B6" s="77">
        <v>2</v>
      </c>
      <c r="C6" s="76" t="s">
        <v>934</v>
      </c>
      <c r="D6" s="76">
        <v>4</v>
      </c>
      <c r="E6" s="76">
        <v>5</v>
      </c>
      <c r="F6" s="76">
        <v>6</v>
      </c>
    </row>
    <row r="7" spans="1:6" ht="20.100000000000001" customHeight="1" x14ac:dyDescent="0.2">
      <c r="A7" s="70">
        <v>10010001</v>
      </c>
      <c r="B7" s="21" t="s">
        <v>24</v>
      </c>
      <c r="C7" s="68">
        <f>D7+E7+F7</f>
        <v>10000</v>
      </c>
      <c r="D7" s="68">
        <f>'1'!N26-E7-F7</f>
        <v>10000</v>
      </c>
      <c r="E7" s="68">
        <v>0</v>
      </c>
      <c r="F7" s="68">
        <v>0</v>
      </c>
    </row>
    <row r="8" spans="1:6" ht="20.100000000000001" customHeight="1" x14ac:dyDescent="0.2">
      <c r="A8" s="70">
        <v>11010001</v>
      </c>
      <c r="B8" s="21" t="s">
        <v>28</v>
      </c>
      <c r="C8" s="68">
        <f t="shared" ref="C8:C43" si="0">D8+E8+F8</f>
        <v>1504620</v>
      </c>
      <c r="D8" s="68">
        <f>'2'!N45-E8-F8</f>
        <v>554957</v>
      </c>
      <c r="E8" s="68">
        <v>0</v>
      </c>
      <c r="F8" s="68">
        <v>949663</v>
      </c>
    </row>
    <row r="9" spans="1:6" ht="20.100000000000001" customHeight="1" x14ac:dyDescent="0.2">
      <c r="A9" s="70">
        <v>11010003</v>
      </c>
      <c r="B9" s="21" t="s">
        <v>32</v>
      </c>
      <c r="C9" s="68">
        <f t="shared" si="0"/>
        <v>1000</v>
      </c>
      <c r="D9" s="68">
        <f>'3'!N26-E9-F9</f>
        <v>1000</v>
      </c>
      <c r="E9" s="68">
        <v>0</v>
      </c>
      <c r="F9" s="68">
        <v>0</v>
      </c>
    </row>
    <row r="10" spans="1:6" ht="20.100000000000001" customHeight="1" x14ac:dyDescent="0.2">
      <c r="A10" s="70">
        <v>11010004</v>
      </c>
      <c r="B10" s="21" t="s">
        <v>36</v>
      </c>
      <c r="C10" s="68">
        <f t="shared" si="0"/>
        <v>2000</v>
      </c>
      <c r="D10" s="68">
        <f>'4'!N26-E10-F10</f>
        <v>2000</v>
      </c>
      <c r="E10" s="68">
        <v>0</v>
      </c>
      <c r="F10" s="68">
        <v>0</v>
      </c>
    </row>
    <row r="11" spans="1:6" ht="20.100000000000001" customHeight="1" x14ac:dyDescent="0.2">
      <c r="A11" s="70">
        <v>11010005</v>
      </c>
      <c r="B11" s="245" t="s">
        <v>744</v>
      </c>
      <c r="C11" s="68">
        <f t="shared" si="0"/>
        <v>5000</v>
      </c>
      <c r="D11" s="68">
        <f>'5'!N26-E11-F11</f>
        <v>5000</v>
      </c>
      <c r="E11" s="68">
        <v>0</v>
      </c>
      <c r="F11" s="68">
        <v>0</v>
      </c>
    </row>
    <row r="12" spans="1:6" ht="20.100000000000001" customHeight="1" x14ac:dyDescent="0.2">
      <c r="A12" s="70">
        <v>11010006</v>
      </c>
      <c r="B12" s="245" t="s">
        <v>745</v>
      </c>
      <c r="C12" s="68">
        <f t="shared" ref="C12" si="1">D12+E12+F12</f>
        <v>2000</v>
      </c>
      <c r="D12" s="68">
        <f>'6'!N29-E12-F12</f>
        <v>2000</v>
      </c>
      <c r="E12" s="68">
        <v>0</v>
      </c>
      <c r="F12" s="68">
        <v>0</v>
      </c>
    </row>
    <row r="13" spans="1:6" ht="20.100000000000001" customHeight="1" x14ac:dyDescent="0.2">
      <c r="A13" s="70">
        <v>12010001</v>
      </c>
      <c r="B13" s="21" t="s">
        <v>48</v>
      </c>
      <c r="C13" s="68">
        <f t="shared" si="0"/>
        <v>21000</v>
      </c>
      <c r="D13" s="68">
        <f>'7'!N26-E13-F13</f>
        <v>21000</v>
      </c>
      <c r="E13" s="68">
        <v>0</v>
      </c>
      <c r="F13" s="68">
        <v>0</v>
      </c>
    </row>
    <row r="14" spans="1:6" ht="20.100000000000001" customHeight="1" x14ac:dyDescent="0.2">
      <c r="A14" s="70">
        <v>13010001</v>
      </c>
      <c r="B14" s="245" t="s">
        <v>52</v>
      </c>
      <c r="C14" s="68">
        <f t="shared" si="0"/>
        <v>210000</v>
      </c>
      <c r="D14" s="68">
        <f>'8'!N28-E14-F14</f>
        <v>210000</v>
      </c>
      <c r="E14" s="68">
        <v>0</v>
      </c>
      <c r="F14" s="68">
        <v>0</v>
      </c>
    </row>
    <row r="15" spans="1:6" ht="20.100000000000001" customHeight="1" x14ac:dyDescent="0.2">
      <c r="A15" s="70">
        <v>14010001</v>
      </c>
      <c r="B15" s="245" t="s">
        <v>56</v>
      </c>
      <c r="C15" s="68">
        <f t="shared" si="0"/>
        <v>5000</v>
      </c>
      <c r="D15" s="68">
        <f>'9'!N28-E15-F15</f>
        <v>5000</v>
      </c>
      <c r="E15" s="68">
        <v>0</v>
      </c>
      <c r="F15" s="68">
        <v>0</v>
      </c>
    </row>
    <row r="16" spans="1:6" ht="20.100000000000001" customHeight="1" x14ac:dyDescent="0.2">
      <c r="A16" s="70">
        <v>14020003</v>
      </c>
      <c r="B16" s="245" t="s">
        <v>746</v>
      </c>
      <c r="C16" s="68">
        <f t="shared" si="0"/>
        <v>37000</v>
      </c>
      <c r="D16" s="68">
        <f>'10'!N27-E16-F16</f>
        <v>37000</v>
      </c>
      <c r="E16" s="68">
        <v>0</v>
      </c>
      <c r="F16" s="68">
        <v>0</v>
      </c>
    </row>
    <row r="17" spans="1:14" ht="20.100000000000001" customHeight="1" x14ac:dyDescent="0.2">
      <c r="A17" s="70">
        <v>14050001</v>
      </c>
      <c r="B17" s="245" t="s">
        <v>747</v>
      </c>
      <c r="C17" s="68">
        <f t="shared" si="0"/>
        <v>1000</v>
      </c>
      <c r="D17" s="68">
        <f>'11'!N26-E17-F17</f>
        <v>1000</v>
      </c>
      <c r="E17" s="68">
        <v>0</v>
      </c>
      <c r="F17" s="68">
        <v>0</v>
      </c>
      <c r="J17" t="s">
        <v>638</v>
      </c>
    </row>
    <row r="18" spans="1:14" ht="20.100000000000001" customHeight="1" x14ac:dyDescent="0.2">
      <c r="A18" s="70">
        <v>14050002</v>
      </c>
      <c r="B18" s="245" t="s">
        <v>748</v>
      </c>
      <c r="C18" s="68">
        <f t="shared" si="0"/>
        <v>2000</v>
      </c>
      <c r="D18" s="68">
        <f>'12'!N26-E18-F18</f>
        <v>2000</v>
      </c>
      <c r="E18" s="68">
        <v>0</v>
      </c>
      <c r="F18" s="68">
        <v>0</v>
      </c>
    </row>
    <row r="19" spans="1:14" ht="20.100000000000001" customHeight="1" x14ac:dyDescent="0.2">
      <c r="A19" s="70">
        <v>14060001</v>
      </c>
      <c r="B19" s="245" t="s">
        <v>749</v>
      </c>
      <c r="C19" s="68">
        <f t="shared" si="0"/>
        <v>1000</v>
      </c>
      <c r="D19" s="68">
        <f>'13'!N26-E19-F19</f>
        <v>1000</v>
      </c>
      <c r="E19" s="68">
        <v>0</v>
      </c>
      <c r="F19" s="68">
        <v>0</v>
      </c>
    </row>
    <row r="20" spans="1:14" ht="20.100000000000001" customHeight="1" x14ac:dyDescent="0.2">
      <c r="A20" s="70">
        <v>14070001</v>
      </c>
      <c r="B20" s="245" t="s">
        <v>750</v>
      </c>
      <c r="C20" s="68">
        <f t="shared" ref="C20" si="2">D20+E20+F20</f>
        <v>8000</v>
      </c>
      <c r="D20" s="68">
        <f>'14'!N26-E27-F27</f>
        <v>8000</v>
      </c>
      <c r="E20" s="68">
        <v>0</v>
      </c>
      <c r="F20" s="68">
        <v>0</v>
      </c>
    </row>
    <row r="21" spans="1:14" ht="20.100000000000001" customHeight="1" x14ac:dyDescent="0.2">
      <c r="A21" s="70">
        <v>15010001</v>
      </c>
      <c r="B21" s="245" t="s">
        <v>751</v>
      </c>
      <c r="C21" s="68">
        <f t="shared" si="0"/>
        <v>5000</v>
      </c>
      <c r="D21" s="68">
        <f>'15'!N35-E21-F21</f>
        <v>5000</v>
      </c>
      <c r="E21" s="68">
        <v>0</v>
      </c>
      <c r="F21" s="68">
        <v>0</v>
      </c>
    </row>
    <row r="22" spans="1:14" ht="20.100000000000001" customHeight="1" x14ac:dyDescent="0.2">
      <c r="A22" s="70">
        <v>16010001</v>
      </c>
      <c r="B22" s="245" t="s">
        <v>80</v>
      </c>
      <c r="C22" s="68">
        <f t="shared" si="0"/>
        <v>15000</v>
      </c>
      <c r="D22" s="68">
        <f>'16'!N39-E22-F22</f>
        <v>15000</v>
      </c>
      <c r="E22" s="68">
        <v>0</v>
      </c>
      <c r="F22" s="68">
        <v>0</v>
      </c>
    </row>
    <row r="23" spans="1:14" ht="20.100000000000001" customHeight="1" x14ac:dyDescent="0.2">
      <c r="A23" s="70">
        <v>17010001</v>
      </c>
      <c r="B23" s="245" t="s">
        <v>82</v>
      </c>
      <c r="C23" s="68">
        <f t="shared" si="0"/>
        <v>3400</v>
      </c>
      <c r="D23" s="68">
        <f>'17'!N32-E23-F23</f>
        <v>3400</v>
      </c>
      <c r="E23" s="68">
        <v>0</v>
      </c>
      <c r="F23" s="68">
        <v>0</v>
      </c>
    </row>
    <row r="24" spans="1:14" ht="20.100000000000001" customHeight="1" x14ac:dyDescent="0.2">
      <c r="A24" s="70">
        <v>18010001</v>
      </c>
      <c r="B24" s="245" t="s">
        <v>84</v>
      </c>
      <c r="C24" s="68">
        <f t="shared" si="0"/>
        <v>3615000</v>
      </c>
      <c r="D24" s="68">
        <f>'18'!N30-E24-F24</f>
        <v>10000</v>
      </c>
      <c r="E24" s="68">
        <f>3615000-1572718-10000</f>
        <v>2032282</v>
      </c>
      <c r="F24" s="68">
        <f>1500000+72718</f>
        <v>1572718</v>
      </c>
    </row>
    <row r="25" spans="1:14" ht="20.100000000000001" customHeight="1" x14ac:dyDescent="0.2">
      <c r="A25" s="70">
        <v>19010001</v>
      </c>
      <c r="B25" s="245" t="s">
        <v>752</v>
      </c>
      <c r="C25" s="68">
        <f t="shared" si="0"/>
        <v>60000</v>
      </c>
      <c r="D25" s="68">
        <f>'19'!N36-E25-F25</f>
        <v>12000</v>
      </c>
      <c r="E25" s="68">
        <v>48000</v>
      </c>
      <c r="F25" s="68">
        <v>0</v>
      </c>
      <c r="N25" s="65"/>
    </row>
    <row r="26" spans="1:14" ht="20.100000000000001" customHeight="1" x14ac:dyDescent="0.2">
      <c r="A26" s="70">
        <v>20010001</v>
      </c>
      <c r="B26" s="245" t="s">
        <v>88</v>
      </c>
      <c r="C26" s="68">
        <f t="shared" si="0"/>
        <v>1129280</v>
      </c>
      <c r="D26" s="68">
        <f>'20'!N41-E26-F26</f>
        <v>430799</v>
      </c>
      <c r="E26" s="68">
        <v>0</v>
      </c>
      <c r="F26" s="68">
        <f>672119+26362</f>
        <v>698481</v>
      </c>
    </row>
    <row r="27" spans="1:14" ht="20.100000000000001" customHeight="1" x14ac:dyDescent="0.2">
      <c r="A27" s="70">
        <v>20020002</v>
      </c>
      <c r="B27" s="245" t="s">
        <v>753</v>
      </c>
      <c r="C27" s="68">
        <f t="shared" si="0"/>
        <v>30000</v>
      </c>
      <c r="D27" s="68">
        <f>'21'!N26-E27-F27</f>
        <v>30000</v>
      </c>
      <c r="E27" s="68">
        <v>0</v>
      </c>
      <c r="F27" s="68">
        <v>0</v>
      </c>
    </row>
    <row r="28" spans="1:14" ht="20.100000000000001" customHeight="1" x14ac:dyDescent="0.2">
      <c r="A28" s="70">
        <v>20020003</v>
      </c>
      <c r="B28" s="245" t="s">
        <v>754</v>
      </c>
      <c r="C28" s="68">
        <f t="shared" si="0"/>
        <v>20000</v>
      </c>
      <c r="D28" s="68">
        <f>'22'!N26-E28-F28</f>
        <v>11019</v>
      </c>
      <c r="E28" s="68">
        <v>0</v>
      </c>
      <c r="F28" s="68">
        <v>8981</v>
      </c>
    </row>
    <row r="29" spans="1:14" ht="20.100000000000001" customHeight="1" x14ac:dyDescent="0.2">
      <c r="A29" s="70">
        <v>20020004</v>
      </c>
      <c r="B29" s="245" t="s">
        <v>755</v>
      </c>
      <c r="C29" s="68">
        <f t="shared" si="0"/>
        <v>17000</v>
      </c>
      <c r="D29" s="68">
        <f>'23'!N26-E29-F29</f>
        <v>17000</v>
      </c>
      <c r="E29" s="68">
        <v>0</v>
      </c>
      <c r="F29" s="68">
        <v>0</v>
      </c>
    </row>
    <row r="30" spans="1:14" ht="20.100000000000001" customHeight="1" x14ac:dyDescent="0.2">
      <c r="A30" s="70">
        <v>20030001</v>
      </c>
      <c r="B30" s="245" t="s">
        <v>756</v>
      </c>
      <c r="C30" s="68">
        <f t="shared" si="0"/>
        <v>10000</v>
      </c>
      <c r="D30" s="68">
        <f>'24'!N26-E30-F30</f>
        <v>10000</v>
      </c>
      <c r="E30" s="68">
        <v>0</v>
      </c>
      <c r="F30" s="68">
        <v>0</v>
      </c>
    </row>
    <row r="31" spans="1:14" ht="20.100000000000001" customHeight="1" x14ac:dyDescent="0.2">
      <c r="A31" s="70">
        <v>20030002</v>
      </c>
      <c r="B31" s="245" t="s">
        <v>757</v>
      </c>
      <c r="C31" s="68">
        <f t="shared" si="0"/>
        <v>59430</v>
      </c>
      <c r="D31" s="68">
        <f>'25'!N26-E31-F31</f>
        <v>51117</v>
      </c>
      <c r="E31" s="68">
        <v>0</v>
      </c>
      <c r="F31" s="68">
        <v>8313</v>
      </c>
    </row>
    <row r="32" spans="1:14" ht="20.100000000000001" customHeight="1" x14ac:dyDescent="0.2">
      <c r="A32" s="70">
        <v>20030003</v>
      </c>
      <c r="B32" s="245" t="s">
        <v>758</v>
      </c>
      <c r="C32" s="68">
        <f t="shared" si="0"/>
        <v>65640</v>
      </c>
      <c r="D32" s="68">
        <f>'26'!N26-E32-F32</f>
        <v>39199</v>
      </c>
      <c r="E32" s="68">
        <v>0</v>
      </c>
      <c r="F32" s="68">
        <f>9359+17082</f>
        <v>26441</v>
      </c>
    </row>
    <row r="33" spans="1:6" ht="20.100000000000001" customHeight="1" x14ac:dyDescent="0.2">
      <c r="A33" s="70">
        <v>20030004</v>
      </c>
      <c r="B33" s="245" t="s">
        <v>759</v>
      </c>
      <c r="C33" s="68">
        <f t="shared" si="0"/>
        <v>16020</v>
      </c>
      <c r="D33" s="68">
        <f>'27'!N26-E33-F33</f>
        <v>16020</v>
      </c>
      <c r="E33" s="68">
        <v>0</v>
      </c>
      <c r="F33" s="68">
        <v>0</v>
      </c>
    </row>
    <row r="34" spans="1:6" ht="20.100000000000001" customHeight="1" x14ac:dyDescent="0.2">
      <c r="A34" s="70">
        <v>20030005</v>
      </c>
      <c r="B34" s="245" t="s">
        <v>935</v>
      </c>
      <c r="C34" s="68">
        <f t="shared" si="0"/>
        <v>69930</v>
      </c>
      <c r="D34" s="68">
        <f>'28'!N26-E34-F34</f>
        <v>24103</v>
      </c>
      <c r="E34" s="68">
        <v>0</v>
      </c>
      <c r="F34" s="68">
        <f>26026+19801</f>
        <v>45827</v>
      </c>
    </row>
    <row r="35" spans="1:6" ht="20.100000000000001" customHeight="1" x14ac:dyDescent="0.2">
      <c r="A35" s="70">
        <v>20030006</v>
      </c>
      <c r="B35" s="245" t="s">
        <v>761</v>
      </c>
      <c r="C35" s="68">
        <f t="shared" si="0"/>
        <v>19780</v>
      </c>
      <c r="D35" s="68">
        <f>'29'!N26-E35-F35</f>
        <v>10000</v>
      </c>
      <c r="E35" s="68">
        <v>0</v>
      </c>
      <c r="F35" s="68">
        <v>9780</v>
      </c>
    </row>
    <row r="36" spans="1:6" ht="20.100000000000001" customHeight="1" x14ac:dyDescent="0.2">
      <c r="A36" s="70">
        <v>20030007</v>
      </c>
      <c r="B36" s="245" t="s">
        <v>762</v>
      </c>
      <c r="C36" s="68">
        <f t="shared" si="0"/>
        <v>20000</v>
      </c>
      <c r="D36" s="68">
        <f>'30'!N26-E36-F36</f>
        <v>15050</v>
      </c>
      <c r="E36" s="68">
        <v>0</v>
      </c>
      <c r="F36" s="68">
        <v>4950</v>
      </c>
    </row>
    <row r="37" spans="1:6" ht="20.100000000000001" customHeight="1" x14ac:dyDescent="0.2">
      <c r="A37" s="70">
        <v>21010001</v>
      </c>
      <c r="B37" s="245" t="s">
        <v>30</v>
      </c>
      <c r="C37" s="68">
        <f t="shared" si="0"/>
        <v>6000</v>
      </c>
      <c r="D37" s="68">
        <f>'31'!N29-E37-F37</f>
        <v>6000</v>
      </c>
      <c r="E37" s="68">
        <v>0</v>
      </c>
      <c r="F37" s="68">
        <v>0</v>
      </c>
    </row>
    <row r="38" spans="1:6" ht="20.100000000000001" customHeight="1" x14ac:dyDescent="0.2">
      <c r="A38" s="70">
        <v>22010001</v>
      </c>
      <c r="B38" s="245" t="s">
        <v>34</v>
      </c>
      <c r="C38" s="68">
        <f t="shared" si="0"/>
        <v>0</v>
      </c>
      <c r="D38" s="68">
        <f>'32'!N26-E38-F38</f>
        <v>0</v>
      </c>
      <c r="E38" s="68">
        <v>0</v>
      </c>
      <c r="F38" s="68">
        <v>0</v>
      </c>
    </row>
    <row r="39" spans="1:6" ht="20.100000000000001" customHeight="1" x14ac:dyDescent="0.2">
      <c r="A39" s="70">
        <v>23010001</v>
      </c>
      <c r="B39" s="245" t="s">
        <v>38</v>
      </c>
      <c r="C39" s="68">
        <f t="shared" si="0"/>
        <v>233760</v>
      </c>
      <c r="D39" s="68">
        <f>'33'!N30-E39-F39</f>
        <v>108364</v>
      </c>
      <c r="E39" s="68">
        <v>9000</v>
      </c>
      <c r="F39" s="68">
        <f>70000+46396</f>
        <v>116396</v>
      </c>
    </row>
    <row r="40" spans="1:6" ht="20.100000000000001" customHeight="1" x14ac:dyDescent="0.2">
      <c r="A40" s="70">
        <v>24010001</v>
      </c>
      <c r="B40" s="21" t="s">
        <v>42</v>
      </c>
      <c r="C40" s="68">
        <f t="shared" si="0"/>
        <v>136100</v>
      </c>
      <c r="D40" s="68">
        <f>'34'!N26-E40-F40</f>
        <v>80207</v>
      </c>
      <c r="E40" s="68">
        <v>0</v>
      </c>
      <c r="F40" s="68">
        <v>55893</v>
      </c>
    </row>
    <row r="41" spans="1:6" ht="20.100000000000001" customHeight="1" x14ac:dyDescent="0.2">
      <c r="A41" s="70">
        <v>26010001</v>
      </c>
      <c r="B41" s="21" t="s">
        <v>46</v>
      </c>
      <c r="C41" s="68">
        <f t="shared" si="0"/>
        <v>2000</v>
      </c>
      <c r="D41" s="68">
        <f>'35'!N26-E41-F41</f>
        <v>2000</v>
      </c>
      <c r="E41" s="68">
        <v>0</v>
      </c>
      <c r="F41" s="68">
        <v>0</v>
      </c>
    </row>
    <row r="42" spans="1:6" ht="20.100000000000001" customHeight="1" x14ac:dyDescent="0.2">
      <c r="A42" s="70">
        <v>27010001</v>
      </c>
      <c r="B42" s="245" t="s">
        <v>50</v>
      </c>
      <c r="C42" s="68">
        <f t="shared" si="0"/>
        <v>32000</v>
      </c>
      <c r="D42" s="68">
        <f>'36'!N26-E42-F42</f>
        <v>32000</v>
      </c>
      <c r="E42" s="68">
        <v>0</v>
      </c>
      <c r="F42" s="68">
        <v>0</v>
      </c>
    </row>
    <row r="43" spans="1:6" ht="20.100000000000001" customHeight="1" x14ac:dyDescent="0.2">
      <c r="A43" s="70">
        <v>28010001</v>
      </c>
      <c r="B43" s="21" t="s">
        <v>54</v>
      </c>
      <c r="C43" s="68">
        <f t="shared" si="0"/>
        <v>3000</v>
      </c>
      <c r="D43" s="68">
        <f>'37'!N26-E43-F43</f>
        <v>3000</v>
      </c>
      <c r="E43" s="68">
        <v>0</v>
      </c>
      <c r="F43" s="68">
        <v>0</v>
      </c>
    </row>
    <row r="44" spans="1:6" s="39" customFormat="1" ht="20.100000000000001" customHeight="1" x14ac:dyDescent="0.2">
      <c r="A44" s="51"/>
      <c r="B44" s="74" t="s">
        <v>763</v>
      </c>
      <c r="C44" s="75">
        <f>SUM(C7:C43)</f>
        <v>7377960</v>
      </c>
      <c r="D44" s="75">
        <f>SUM(D7:D43)</f>
        <v>1791235</v>
      </c>
      <c r="E44" s="75">
        <f>SUM(E7:E43)</f>
        <v>2089282</v>
      </c>
      <c r="F44" s="75">
        <f>SUM(F7:F43)</f>
        <v>3497443</v>
      </c>
    </row>
    <row r="45" spans="1:6" ht="18" customHeight="1" x14ac:dyDescent="0.2"/>
  </sheetData>
  <mergeCells count="5">
    <mergeCell ref="A2:F2"/>
    <mergeCell ref="D4:F4"/>
    <mergeCell ref="A4:A5"/>
    <mergeCell ref="B4:B5"/>
    <mergeCell ref="C4:C5"/>
  </mergeCells>
  <phoneticPr fontId="0" type="noConversion"/>
  <pageMargins left="0.59055118110236227" right="0.31496062992125984" top="0.55118110236220474" bottom="0.51181102362204722" header="0.51181102362204722" footer="0.31496062992125984"/>
  <pageSetup paperSize="9" scale="81" firstPageNumber="3" orientation="landscape" r:id="rId1"/>
  <headerFooter alignWithMargins="0">
    <oddFooter>&amp;R&amp;P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7"/>
  <dimension ref="A1:N38"/>
  <sheetViews>
    <sheetView zoomScaleNormal="100" workbookViewId="0">
      <selection activeCell="B32" sqref="B32"/>
    </sheetView>
  </sheetViews>
  <sheetFormatPr defaultRowHeight="15" customHeight="1" x14ac:dyDescent="0.2"/>
  <cols>
    <col min="2" max="2" width="46.7109375" customWidth="1"/>
    <col min="3" max="3" width="18" customWidth="1"/>
    <col min="4" max="4" width="12.42578125" customWidth="1"/>
    <col min="7" max="8" width="15.7109375" customWidth="1"/>
    <col min="9" max="9" width="8.7109375" customWidth="1"/>
    <col min="258" max="258" width="46.7109375" customWidth="1"/>
    <col min="259" max="259" width="18" customWidth="1"/>
    <col min="260" max="260" width="12.42578125" customWidth="1"/>
    <col min="263" max="264" width="15.7109375" customWidth="1"/>
    <col min="265" max="265" width="8.7109375" customWidth="1"/>
    <col min="514" max="514" width="46.7109375" customWidth="1"/>
    <col min="515" max="515" width="18" customWidth="1"/>
    <col min="516" max="516" width="12.42578125" customWidth="1"/>
    <col min="519" max="520" width="15.7109375" customWidth="1"/>
    <col min="521" max="521" width="8.7109375" customWidth="1"/>
    <col min="770" max="770" width="46.7109375" customWidth="1"/>
    <col min="771" max="771" width="18" customWidth="1"/>
    <col min="772" max="772" width="12.42578125" customWidth="1"/>
    <col min="775" max="776" width="15.7109375" customWidth="1"/>
    <col min="777" max="777" width="8.7109375" customWidth="1"/>
    <col min="1026" max="1026" width="46.7109375" customWidth="1"/>
    <col min="1027" max="1027" width="18" customWidth="1"/>
    <col min="1028" max="1028" width="12.42578125" customWidth="1"/>
    <col min="1031" max="1032" width="15.7109375" customWidth="1"/>
    <col min="1033" max="1033" width="8.7109375" customWidth="1"/>
    <col min="1282" max="1282" width="46.7109375" customWidth="1"/>
    <col min="1283" max="1283" width="18" customWidth="1"/>
    <col min="1284" max="1284" width="12.42578125" customWidth="1"/>
    <col min="1287" max="1288" width="15.7109375" customWidth="1"/>
    <col min="1289" max="1289" width="8.7109375" customWidth="1"/>
    <col min="1538" max="1538" width="46.7109375" customWidth="1"/>
    <col min="1539" max="1539" width="18" customWidth="1"/>
    <col min="1540" max="1540" width="12.42578125" customWidth="1"/>
    <col min="1543" max="1544" width="15.7109375" customWidth="1"/>
    <col min="1545" max="1545" width="8.7109375" customWidth="1"/>
    <col min="1794" max="1794" width="46.7109375" customWidth="1"/>
    <col min="1795" max="1795" width="18" customWidth="1"/>
    <col min="1796" max="1796" width="12.42578125" customWidth="1"/>
    <col min="1799" max="1800" width="15.7109375" customWidth="1"/>
    <col min="1801" max="1801" width="8.7109375" customWidth="1"/>
    <col min="2050" max="2050" width="46.7109375" customWidth="1"/>
    <col min="2051" max="2051" width="18" customWidth="1"/>
    <col min="2052" max="2052" width="12.42578125" customWidth="1"/>
    <col min="2055" max="2056" width="15.7109375" customWidth="1"/>
    <col min="2057" max="2057" width="8.7109375" customWidth="1"/>
    <col min="2306" max="2306" width="46.7109375" customWidth="1"/>
    <col min="2307" max="2307" width="18" customWidth="1"/>
    <col min="2308" max="2308" width="12.42578125" customWidth="1"/>
    <col min="2311" max="2312" width="15.7109375" customWidth="1"/>
    <col min="2313" max="2313" width="8.7109375" customWidth="1"/>
    <col min="2562" max="2562" width="46.7109375" customWidth="1"/>
    <col min="2563" max="2563" width="18" customWidth="1"/>
    <col min="2564" max="2564" width="12.42578125" customWidth="1"/>
    <col min="2567" max="2568" width="15.7109375" customWidth="1"/>
    <col min="2569" max="2569" width="8.7109375" customWidth="1"/>
    <col min="2818" max="2818" width="46.7109375" customWidth="1"/>
    <col min="2819" max="2819" width="18" customWidth="1"/>
    <col min="2820" max="2820" width="12.42578125" customWidth="1"/>
    <col min="2823" max="2824" width="15.7109375" customWidth="1"/>
    <col min="2825" max="2825" width="8.7109375" customWidth="1"/>
    <col min="3074" max="3074" width="46.7109375" customWidth="1"/>
    <col min="3075" max="3075" width="18" customWidth="1"/>
    <col min="3076" max="3076" width="12.42578125" customWidth="1"/>
    <col min="3079" max="3080" width="15.7109375" customWidth="1"/>
    <col min="3081" max="3081" width="8.7109375" customWidth="1"/>
    <col min="3330" max="3330" width="46.7109375" customWidth="1"/>
    <col min="3331" max="3331" width="18" customWidth="1"/>
    <col min="3332" max="3332" width="12.42578125" customWidth="1"/>
    <col min="3335" max="3336" width="15.7109375" customWidth="1"/>
    <col min="3337" max="3337" width="8.7109375" customWidth="1"/>
    <col min="3586" max="3586" width="46.7109375" customWidth="1"/>
    <col min="3587" max="3587" width="18" customWidth="1"/>
    <col min="3588" max="3588" width="12.42578125" customWidth="1"/>
    <col min="3591" max="3592" width="15.7109375" customWidth="1"/>
    <col min="3593" max="3593" width="8.7109375" customWidth="1"/>
    <col min="3842" max="3842" width="46.7109375" customWidth="1"/>
    <col min="3843" max="3843" width="18" customWidth="1"/>
    <col min="3844" max="3844" width="12.42578125" customWidth="1"/>
    <col min="3847" max="3848" width="15.7109375" customWidth="1"/>
    <col min="3849" max="3849" width="8.7109375" customWidth="1"/>
    <col min="4098" max="4098" width="46.7109375" customWidth="1"/>
    <col min="4099" max="4099" width="18" customWidth="1"/>
    <col min="4100" max="4100" width="12.42578125" customWidth="1"/>
    <col min="4103" max="4104" width="15.7109375" customWidth="1"/>
    <col min="4105" max="4105" width="8.7109375" customWidth="1"/>
    <col min="4354" max="4354" width="46.7109375" customWidth="1"/>
    <col min="4355" max="4355" width="18" customWidth="1"/>
    <col min="4356" max="4356" width="12.42578125" customWidth="1"/>
    <col min="4359" max="4360" width="15.7109375" customWidth="1"/>
    <col min="4361" max="4361" width="8.7109375" customWidth="1"/>
    <col min="4610" max="4610" width="46.7109375" customWidth="1"/>
    <col min="4611" max="4611" width="18" customWidth="1"/>
    <col min="4612" max="4612" width="12.42578125" customWidth="1"/>
    <col min="4615" max="4616" width="15.7109375" customWidth="1"/>
    <col min="4617" max="4617" width="8.7109375" customWidth="1"/>
    <col min="4866" max="4866" width="46.7109375" customWidth="1"/>
    <col min="4867" max="4867" width="18" customWidth="1"/>
    <col min="4868" max="4868" width="12.42578125" customWidth="1"/>
    <col min="4871" max="4872" width="15.7109375" customWidth="1"/>
    <col min="4873" max="4873" width="8.7109375" customWidth="1"/>
    <col min="5122" max="5122" width="46.7109375" customWidth="1"/>
    <col min="5123" max="5123" width="18" customWidth="1"/>
    <col min="5124" max="5124" width="12.42578125" customWidth="1"/>
    <col min="5127" max="5128" width="15.7109375" customWidth="1"/>
    <col min="5129" max="5129" width="8.7109375" customWidth="1"/>
    <col min="5378" max="5378" width="46.7109375" customWidth="1"/>
    <col min="5379" max="5379" width="18" customWidth="1"/>
    <col min="5380" max="5380" width="12.42578125" customWidth="1"/>
    <col min="5383" max="5384" width="15.7109375" customWidth="1"/>
    <col min="5385" max="5385" width="8.7109375" customWidth="1"/>
    <col min="5634" max="5634" width="46.7109375" customWidth="1"/>
    <col min="5635" max="5635" width="18" customWidth="1"/>
    <col min="5636" max="5636" width="12.42578125" customWidth="1"/>
    <col min="5639" max="5640" width="15.7109375" customWidth="1"/>
    <col min="5641" max="5641" width="8.7109375" customWidth="1"/>
    <col min="5890" max="5890" width="46.7109375" customWidth="1"/>
    <col min="5891" max="5891" width="18" customWidth="1"/>
    <col min="5892" max="5892" width="12.42578125" customWidth="1"/>
    <col min="5895" max="5896" width="15.7109375" customWidth="1"/>
    <col min="5897" max="5897" width="8.7109375" customWidth="1"/>
    <col min="6146" max="6146" width="46.7109375" customWidth="1"/>
    <col min="6147" max="6147" width="18" customWidth="1"/>
    <col min="6148" max="6148" width="12.42578125" customWidth="1"/>
    <col min="6151" max="6152" width="15.7109375" customWidth="1"/>
    <col min="6153" max="6153" width="8.7109375" customWidth="1"/>
    <col min="6402" max="6402" width="46.7109375" customWidth="1"/>
    <col min="6403" max="6403" width="18" customWidth="1"/>
    <col min="6404" max="6404" width="12.42578125" customWidth="1"/>
    <col min="6407" max="6408" width="15.7109375" customWidth="1"/>
    <col min="6409" max="6409" width="8.7109375" customWidth="1"/>
    <col min="6658" max="6658" width="46.7109375" customWidth="1"/>
    <col min="6659" max="6659" width="18" customWidth="1"/>
    <col min="6660" max="6660" width="12.42578125" customWidth="1"/>
    <col min="6663" max="6664" width="15.7109375" customWidth="1"/>
    <col min="6665" max="6665" width="8.7109375" customWidth="1"/>
    <col min="6914" max="6914" width="46.7109375" customWidth="1"/>
    <col min="6915" max="6915" width="18" customWidth="1"/>
    <col min="6916" max="6916" width="12.42578125" customWidth="1"/>
    <col min="6919" max="6920" width="15.7109375" customWidth="1"/>
    <col min="6921" max="6921" width="8.7109375" customWidth="1"/>
    <col min="7170" max="7170" width="46.7109375" customWidth="1"/>
    <col min="7171" max="7171" width="18" customWidth="1"/>
    <col min="7172" max="7172" width="12.42578125" customWidth="1"/>
    <col min="7175" max="7176" width="15.7109375" customWidth="1"/>
    <col min="7177" max="7177" width="8.7109375" customWidth="1"/>
    <col min="7426" max="7426" width="46.7109375" customWidth="1"/>
    <col min="7427" max="7427" width="18" customWidth="1"/>
    <col min="7428" max="7428" width="12.42578125" customWidth="1"/>
    <col min="7431" max="7432" width="15.7109375" customWidth="1"/>
    <col min="7433" max="7433" width="8.7109375" customWidth="1"/>
    <col min="7682" max="7682" width="46.7109375" customWidth="1"/>
    <col min="7683" max="7683" width="18" customWidth="1"/>
    <col min="7684" max="7684" width="12.42578125" customWidth="1"/>
    <col min="7687" max="7688" width="15.7109375" customWidth="1"/>
    <col min="7689" max="7689" width="8.7109375" customWidth="1"/>
    <col min="7938" max="7938" width="46.7109375" customWidth="1"/>
    <col min="7939" max="7939" width="18" customWidth="1"/>
    <col min="7940" max="7940" width="12.42578125" customWidth="1"/>
    <col min="7943" max="7944" width="15.7109375" customWidth="1"/>
    <col min="7945" max="7945" width="8.7109375" customWidth="1"/>
    <col min="8194" max="8194" width="46.7109375" customWidth="1"/>
    <col min="8195" max="8195" width="18" customWidth="1"/>
    <col min="8196" max="8196" width="12.42578125" customWidth="1"/>
    <col min="8199" max="8200" width="15.7109375" customWidth="1"/>
    <col min="8201" max="8201" width="8.7109375" customWidth="1"/>
    <col min="8450" max="8450" width="46.7109375" customWidth="1"/>
    <col min="8451" max="8451" width="18" customWidth="1"/>
    <col min="8452" max="8452" width="12.42578125" customWidth="1"/>
    <col min="8455" max="8456" width="15.7109375" customWidth="1"/>
    <col min="8457" max="8457" width="8.7109375" customWidth="1"/>
    <col min="8706" max="8706" width="46.7109375" customWidth="1"/>
    <col min="8707" max="8707" width="18" customWidth="1"/>
    <col min="8708" max="8708" width="12.42578125" customWidth="1"/>
    <col min="8711" max="8712" width="15.7109375" customWidth="1"/>
    <col min="8713" max="8713" width="8.7109375" customWidth="1"/>
    <col min="8962" max="8962" width="46.7109375" customWidth="1"/>
    <col min="8963" max="8963" width="18" customWidth="1"/>
    <col min="8964" max="8964" width="12.42578125" customWidth="1"/>
    <col min="8967" max="8968" width="15.7109375" customWidth="1"/>
    <col min="8969" max="8969" width="8.7109375" customWidth="1"/>
    <col min="9218" max="9218" width="46.7109375" customWidth="1"/>
    <col min="9219" max="9219" width="18" customWidth="1"/>
    <col min="9220" max="9220" width="12.42578125" customWidth="1"/>
    <col min="9223" max="9224" width="15.7109375" customWidth="1"/>
    <col min="9225" max="9225" width="8.7109375" customWidth="1"/>
    <col min="9474" max="9474" width="46.7109375" customWidth="1"/>
    <col min="9475" max="9475" width="18" customWidth="1"/>
    <col min="9476" max="9476" width="12.42578125" customWidth="1"/>
    <col min="9479" max="9480" width="15.7109375" customWidth="1"/>
    <col min="9481" max="9481" width="8.7109375" customWidth="1"/>
    <col min="9730" max="9730" width="46.7109375" customWidth="1"/>
    <col min="9731" max="9731" width="18" customWidth="1"/>
    <col min="9732" max="9732" width="12.42578125" customWidth="1"/>
    <col min="9735" max="9736" width="15.7109375" customWidth="1"/>
    <col min="9737" max="9737" width="8.7109375" customWidth="1"/>
    <col min="9986" max="9986" width="46.7109375" customWidth="1"/>
    <col min="9987" max="9987" width="18" customWidth="1"/>
    <col min="9988" max="9988" width="12.42578125" customWidth="1"/>
    <col min="9991" max="9992" width="15.7109375" customWidth="1"/>
    <col min="9993" max="9993" width="8.7109375" customWidth="1"/>
    <col min="10242" max="10242" width="46.7109375" customWidth="1"/>
    <col min="10243" max="10243" width="18" customWidth="1"/>
    <col min="10244" max="10244" width="12.42578125" customWidth="1"/>
    <col min="10247" max="10248" width="15.7109375" customWidth="1"/>
    <col min="10249" max="10249" width="8.7109375" customWidth="1"/>
    <col min="10498" max="10498" width="46.7109375" customWidth="1"/>
    <col min="10499" max="10499" width="18" customWidth="1"/>
    <col min="10500" max="10500" width="12.42578125" customWidth="1"/>
    <col min="10503" max="10504" width="15.7109375" customWidth="1"/>
    <col min="10505" max="10505" width="8.7109375" customWidth="1"/>
    <col min="10754" max="10754" width="46.7109375" customWidth="1"/>
    <col min="10755" max="10755" width="18" customWidth="1"/>
    <col min="10756" max="10756" width="12.42578125" customWidth="1"/>
    <col min="10759" max="10760" width="15.7109375" customWidth="1"/>
    <col min="10761" max="10761" width="8.7109375" customWidth="1"/>
    <col min="11010" max="11010" width="46.7109375" customWidth="1"/>
    <col min="11011" max="11011" width="18" customWidth="1"/>
    <col min="11012" max="11012" width="12.42578125" customWidth="1"/>
    <col min="11015" max="11016" width="15.7109375" customWidth="1"/>
    <col min="11017" max="11017" width="8.7109375" customWidth="1"/>
    <col min="11266" max="11266" width="46.7109375" customWidth="1"/>
    <col min="11267" max="11267" width="18" customWidth="1"/>
    <col min="11268" max="11268" width="12.42578125" customWidth="1"/>
    <col min="11271" max="11272" width="15.7109375" customWidth="1"/>
    <col min="11273" max="11273" width="8.7109375" customWidth="1"/>
    <col min="11522" max="11522" width="46.7109375" customWidth="1"/>
    <col min="11523" max="11523" width="18" customWidth="1"/>
    <col min="11524" max="11524" width="12.42578125" customWidth="1"/>
    <col min="11527" max="11528" width="15.7109375" customWidth="1"/>
    <col min="11529" max="11529" width="8.7109375" customWidth="1"/>
    <col min="11778" max="11778" width="46.7109375" customWidth="1"/>
    <col min="11779" max="11779" width="18" customWidth="1"/>
    <col min="11780" max="11780" width="12.42578125" customWidth="1"/>
    <col min="11783" max="11784" width="15.7109375" customWidth="1"/>
    <col min="11785" max="11785" width="8.7109375" customWidth="1"/>
    <col min="12034" max="12034" width="46.7109375" customWidth="1"/>
    <col min="12035" max="12035" width="18" customWidth="1"/>
    <col min="12036" max="12036" width="12.42578125" customWidth="1"/>
    <col min="12039" max="12040" width="15.7109375" customWidth="1"/>
    <col min="12041" max="12041" width="8.7109375" customWidth="1"/>
    <col min="12290" max="12290" width="46.7109375" customWidth="1"/>
    <col min="12291" max="12291" width="18" customWidth="1"/>
    <col min="12292" max="12292" width="12.42578125" customWidth="1"/>
    <col min="12295" max="12296" width="15.7109375" customWidth="1"/>
    <col min="12297" max="12297" width="8.7109375" customWidth="1"/>
    <col min="12546" max="12546" width="46.7109375" customWidth="1"/>
    <col min="12547" max="12547" width="18" customWidth="1"/>
    <col min="12548" max="12548" width="12.42578125" customWidth="1"/>
    <col min="12551" max="12552" width="15.7109375" customWidth="1"/>
    <col min="12553" max="12553" width="8.7109375" customWidth="1"/>
    <col min="12802" max="12802" width="46.7109375" customWidth="1"/>
    <col min="12803" max="12803" width="18" customWidth="1"/>
    <col min="12804" max="12804" width="12.42578125" customWidth="1"/>
    <col min="12807" max="12808" width="15.7109375" customWidth="1"/>
    <col min="12809" max="12809" width="8.7109375" customWidth="1"/>
    <col min="13058" max="13058" width="46.7109375" customWidth="1"/>
    <col min="13059" max="13059" width="18" customWidth="1"/>
    <col min="13060" max="13060" width="12.42578125" customWidth="1"/>
    <col min="13063" max="13064" width="15.7109375" customWidth="1"/>
    <col min="13065" max="13065" width="8.7109375" customWidth="1"/>
    <col min="13314" max="13314" width="46.7109375" customWidth="1"/>
    <col min="13315" max="13315" width="18" customWidth="1"/>
    <col min="13316" max="13316" width="12.42578125" customWidth="1"/>
    <col min="13319" max="13320" width="15.7109375" customWidth="1"/>
    <col min="13321" max="13321" width="8.7109375" customWidth="1"/>
    <col min="13570" max="13570" width="46.7109375" customWidth="1"/>
    <col min="13571" max="13571" width="18" customWidth="1"/>
    <col min="13572" max="13572" width="12.42578125" customWidth="1"/>
    <col min="13575" max="13576" width="15.7109375" customWidth="1"/>
    <col min="13577" max="13577" width="8.7109375" customWidth="1"/>
    <col min="13826" max="13826" width="46.7109375" customWidth="1"/>
    <col min="13827" max="13827" width="18" customWidth="1"/>
    <col min="13828" max="13828" width="12.42578125" customWidth="1"/>
    <col min="13831" max="13832" width="15.7109375" customWidth="1"/>
    <col min="13833" max="13833" width="8.7109375" customWidth="1"/>
    <col min="14082" max="14082" width="46.7109375" customWidth="1"/>
    <col min="14083" max="14083" width="18" customWidth="1"/>
    <col min="14084" max="14084" width="12.42578125" customWidth="1"/>
    <col min="14087" max="14088" width="15.7109375" customWidth="1"/>
    <col min="14089" max="14089" width="8.7109375" customWidth="1"/>
    <col min="14338" max="14338" width="46.7109375" customWidth="1"/>
    <col min="14339" max="14339" width="18" customWidth="1"/>
    <col min="14340" max="14340" width="12.42578125" customWidth="1"/>
    <col min="14343" max="14344" width="15.7109375" customWidth="1"/>
    <col min="14345" max="14345" width="8.7109375" customWidth="1"/>
    <col min="14594" max="14594" width="46.7109375" customWidth="1"/>
    <col min="14595" max="14595" width="18" customWidth="1"/>
    <col min="14596" max="14596" width="12.42578125" customWidth="1"/>
    <col min="14599" max="14600" width="15.7109375" customWidth="1"/>
    <col min="14601" max="14601" width="8.7109375" customWidth="1"/>
    <col min="14850" max="14850" width="46.7109375" customWidth="1"/>
    <col min="14851" max="14851" width="18" customWidth="1"/>
    <col min="14852" max="14852" width="12.42578125" customWidth="1"/>
    <col min="14855" max="14856" width="15.7109375" customWidth="1"/>
    <col min="14857" max="14857" width="8.7109375" customWidth="1"/>
    <col min="15106" max="15106" width="46.7109375" customWidth="1"/>
    <col min="15107" max="15107" width="18" customWidth="1"/>
    <col min="15108" max="15108" width="12.42578125" customWidth="1"/>
    <col min="15111" max="15112" width="15.7109375" customWidth="1"/>
    <col min="15113" max="15113" width="8.7109375" customWidth="1"/>
    <col min="15362" max="15362" width="46.7109375" customWidth="1"/>
    <col min="15363" max="15363" width="18" customWidth="1"/>
    <col min="15364" max="15364" width="12.42578125" customWidth="1"/>
    <col min="15367" max="15368" width="15.7109375" customWidth="1"/>
    <col min="15369" max="15369" width="8.7109375" customWidth="1"/>
    <col min="15618" max="15618" width="46.7109375" customWidth="1"/>
    <col min="15619" max="15619" width="18" customWidth="1"/>
    <col min="15620" max="15620" width="12.42578125" customWidth="1"/>
    <col min="15623" max="15624" width="15.7109375" customWidth="1"/>
    <col min="15625" max="15625" width="8.7109375" customWidth="1"/>
    <col min="15874" max="15874" width="46.7109375" customWidth="1"/>
    <col min="15875" max="15875" width="18" customWidth="1"/>
    <col min="15876" max="15876" width="12.42578125" customWidth="1"/>
    <col min="15879" max="15880" width="15.7109375" customWidth="1"/>
    <col min="15881" max="15881" width="8.7109375" customWidth="1"/>
    <col min="16130" max="16130" width="46.7109375" customWidth="1"/>
    <col min="16131" max="16131" width="18" customWidth="1"/>
    <col min="16132" max="16132" width="12.42578125" customWidth="1"/>
    <col min="16135" max="16136" width="15.7109375" customWidth="1"/>
    <col min="16137" max="16137" width="8.7109375" customWidth="1"/>
  </cols>
  <sheetData>
    <row r="1" spans="1:8" ht="15" customHeight="1" x14ac:dyDescent="0.2">
      <c r="A1" s="33" t="s">
        <v>936</v>
      </c>
      <c r="C1" s="33"/>
    </row>
    <row r="2" spans="1:8" ht="15" customHeight="1" x14ac:dyDescent="0.2">
      <c r="A2" s="33"/>
      <c r="B2" s="517">
        <f>Rashodi!K9</f>
        <v>660000</v>
      </c>
      <c r="C2" s="518">
        <f>B2/D2*100</f>
        <v>1.0554199243228735</v>
      </c>
      <c r="D2" s="517">
        <f>Prihodi!G269-Prihodi!G37-Prihodi!G49-Prihodi!G53-Prihodi!G59-Prihodi!G66-Prihodi!G90-Prihodi!G95-Prihodi!G98-Prihodi!G111-Prihodi!G125-Prihodi!G131-Prihodi!G133-Prihodi!G146-Prihodi!G149-Prihodi!G200-Prihodi!G201-Prihodi!G202-Prihodi!G203-Prihodi!G204-Prihodi!G208-Prihodi!G224-Prihodi!G225-Prihodi!G227-Prihodi!G230-Prihodi!G231-Prihodi!G232-Prihodi!G233-Prihodi!G235-Prihodi!G240-Prihodi!G241-Prihodi!G242-Prihodi!G243-Prihodi!G244-Prihodi!G247-Prihodi!G248-Prihodi!G249-Prihodi!G251-Prihodi!G253-Prihodi!G260</f>
        <v>62534351</v>
      </c>
      <c r="G2" s="50"/>
    </row>
    <row r="3" spans="1:8" ht="17.25" customHeight="1" x14ac:dyDescent="0.2">
      <c r="A3" s="519" t="s">
        <v>937</v>
      </c>
      <c r="C3" s="514"/>
    </row>
    <row r="4" spans="1:8" ht="15" customHeight="1" x14ac:dyDescent="0.2">
      <c r="A4" s="608" t="str">
        <f>CONCATENATE("     U tekuću pričuvu Vlade izdvojit će se ",TEXT(C2,"#.##0,00"),"% prihoda bez namjenskih prihoda, vlastitih prihoda i primitaka Proračuna.")</f>
        <v xml:space="preserve">     U tekuću pričuvu Vlade izdvojit će se 1,06% prihoda bez namjenskih prihoda, vlastitih prihoda i primitaka Proračuna.</v>
      </c>
      <c r="B4" s="677"/>
      <c r="C4" s="677"/>
      <c r="D4" s="585"/>
      <c r="E4" s="585"/>
      <c r="F4" s="585"/>
      <c r="G4" s="585"/>
      <c r="H4" s="585"/>
    </row>
    <row r="5" spans="1:8" ht="15" customHeight="1" x14ac:dyDescent="0.2">
      <c r="G5" s="39"/>
      <c r="H5" s="39"/>
    </row>
    <row r="6" spans="1:8" ht="15.75" customHeight="1" x14ac:dyDescent="0.2">
      <c r="A6" s="33" t="s">
        <v>938</v>
      </c>
      <c r="C6" s="33"/>
      <c r="G6" s="244" t="s">
        <v>939</v>
      </c>
    </row>
    <row r="7" spans="1:8" ht="15" customHeight="1" x14ac:dyDescent="0.2">
      <c r="A7" s="33"/>
      <c r="C7" s="33"/>
      <c r="E7" s="95"/>
    </row>
    <row r="8" spans="1:8" ht="15" customHeight="1" x14ac:dyDescent="0.2">
      <c r="A8" s="606" t="s">
        <v>940</v>
      </c>
      <c r="B8" s="618"/>
      <c r="C8" s="618"/>
      <c r="D8" s="585"/>
      <c r="E8" s="585"/>
      <c r="F8" s="585"/>
      <c r="G8" s="585"/>
      <c r="H8" s="585"/>
    </row>
    <row r="9" spans="1:8" ht="15" customHeight="1" x14ac:dyDescent="0.2">
      <c r="A9" s="618"/>
      <c r="B9" s="618"/>
      <c r="C9" s="618"/>
      <c r="D9" s="585"/>
      <c r="E9" s="585"/>
      <c r="F9" s="585"/>
      <c r="G9" s="585"/>
      <c r="H9" s="585"/>
    </row>
    <row r="14" spans="1:8" ht="15" customHeight="1" x14ac:dyDescent="0.2">
      <c r="A14" t="s">
        <v>941</v>
      </c>
    </row>
    <row r="15" spans="1:8" ht="15" customHeight="1" x14ac:dyDescent="0.2">
      <c r="A15" t="s">
        <v>942</v>
      </c>
    </row>
    <row r="16" spans="1:8" ht="15" customHeight="1" x14ac:dyDescent="0.2">
      <c r="A16" t="s">
        <v>943</v>
      </c>
    </row>
    <row r="17" spans="1:14" ht="15" customHeight="1" x14ac:dyDescent="0.2">
      <c r="A17" t="s">
        <v>944</v>
      </c>
    </row>
    <row r="18" spans="1:14" ht="15" customHeight="1" x14ac:dyDescent="0.2">
      <c r="A18" s="244" t="s">
        <v>945</v>
      </c>
    </row>
    <row r="19" spans="1:14" ht="15" customHeight="1" x14ac:dyDescent="0.2">
      <c r="A19" s="244" t="s">
        <v>946</v>
      </c>
    </row>
    <row r="20" spans="1:14" ht="15" customHeight="1" x14ac:dyDescent="0.2">
      <c r="G20" s="676" t="s">
        <v>947</v>
      </c>
      <c r="H20" s="585"/>
    </row>
    <row r="21" spans="1:14" ht="15" customHeight="1" x14ac:dyDescent="0.2">
      <c r="G21" s="585"/>
      <c r="H21" s="585"/>
    </row>
    <row r="22" spans="1:14" ht="15" customHeight="1" x14ac:dyDescent="0.2">
      <c r="G22" s="676" t="s">
        <v>948</v>
      </c>
      <c r="H22" s="585"/>
    </row>
    <row r="25" spans="1:14" ht="15" customHeight="1" x14ac:dyDescent="0.2">
      <c r="C25" s="34"/>
      <c r="N25" s="65"/>
    </row>
    <row r="28" spans="1:14" ht="15" customHeight="1" x14ac:dyDescent="0.2">
      <c r="C28" s="34"/>
    </row>
    <row r="37" customFormat="1" ht="12.75" x14ac:dyDescent="0.2"/>
    <row r="38" customFormat="1" ht="15" customHeight="1" x14ac:dyDescent="0.2"/>
  </sheetData>
  <mergeCells count="5">
    <mergeCell ref="G22:H22"/>
    <mergeCell ref="G21:H21"/>
    <mergeCell ref="A8:H9"/>
    <mergeCell ref="A4:H4"/>
    <mergeCell ref="G20:H20"/>
  </mergeCells>
  <phoneticPr fontId="0" type="noConversion"/>
  <pageMargins left="0.59055118110236227" right="0.31496062992125984" top="0.55118110236220474" bottom="0.51181102362204722" header="0.51181102362204722" footer="0.31496062992125984"/>
  <pageSetup paperSize="9" scale="84" firstPageNumber="3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4"/>
  <dimension ref="A2:N269"/>
  <sheetViews>
    <sheetView tabSelected="1" topLeftCell="B181" zoomScaleNormal="100" zoomScaleSheetLayoutView="100" workbookViewId="0">
      <selection activeCell="C205" sqref="C205"/>
    </sheetView>
  </sheetViews>
  <sheetFormatPr defaultRowHeight="14.25" x14ac:dyDescent="0.2"/>
  <cols>
    <col min="1" max="1" width="0.42578125" hidden="1" customWidth="1"/>
    <col min="2" max="2" width="11.5703125" style="34" customWidth="1"/>
    <col min="3" max="3" width="75.5703125" customWidth="1"/>
    <col min="4" max="6" width="17.7109375" customWidth="1"/>
    <col min="7" max="7" width="22.140625" style="176" customWidth="1"/>
    <col min="8" max="8" width="10.7109375" customWidth="1"/>
    <col min="9" max="9" width="11" customWidth="1"/>
    <col min="10" max="10" width="17.140625" customWidth="1"/>
    <col min="12" max="13" width="0" hidden="1" customWidth="1"/>
    <col min="14" max="14" width="13.5703125" customWidth="1"/>
  </cols>
  <sheetData>
    <row r="2" spans="2:10" ht="18.75" customHeight="1" thickBot="1" x14ac:dyDescent="0.3">
      <c r="B2" s="614" t="s">
        <v>146</v>
      </c>
      <c r="C2" s="614"/>
      <c r="D2" s="614"/>
      <c r="E2" s="614"/>
      <c r="F2" s="614"/>
      <c r="G2" s="615"/>
      <c r="H2" s="615"/>
    </row>
    <row r="3" spans="2:10" ht="76.5" customHeight="1" x14ac:dyDescent="0.2">
      <c r="B3" s="329" t="s">
        <v>147</v>
      </c>
      <c r="C3" s="330" t="s">
        <v>148</v>
      </c>
      <c r="D3" s="476" t="s">
        <v>149</v>
      </c>
      <c r="E3" s="476" t="s">
        <v>150</v>
      </c>
      <c r="F3" s="476" t="s">
        <v>151</v>
      </c>
      <c r="G3" s="175" t="s">
        <v>152</v>
      </c>
      <c r="H3" s="538" t="s">
        <v>110</v>
      </c>
      <c r="I3" s="106"/>
    </row>
    <row r="4" spans="2:10" ht="12.75" customHeight="1" x14ac:dyDescent="0.2">
      <c r="B4" s="331">
        <v>1</v>
      </c>
      <c r="C4" s="332">
        <v>2</v>
      </c>
      <c r="D4" s="477">
        <v>3</v>
      </c>
      <c r="E4" s="477">
        <v>4</v>
      </c>
      <c r="F4" s="477">
        <v>5</v>
      </c>
      <c r="G4" s="327">
        <v>6</v>
      </c>
      <c r="H4" s="539" t="s">
        <v>153</v>
      </c>
    </row>
    <row r="5" spans="2:10" s="31" customFormat="1" ht="17.25" customHeight="1" x14ac:dyDescent="0.25">
      <c r="B5" s="393">
        <v>710000</v>
      </c>
      <c r="C5" s="394" t="s">
        <v>154</v>
      </c>
      <c r="D5" s="395">
        <f>D6+D16+D20+D28+D38+D47+D56</f>
        <v>52921780</v>
      </c>
      <c r="E5" s="395">
        <f>E6+E16+E20+E28+E38+E47+E56</f>
        <v>52921780</v>
      </c>
      <c r="F5" s="395">
        <f>F6+F16+F20+F28+F38+F47+F56</f>
        <v>26572192</v>
      </c>
      <c r="G5" s="396">
        <f>G6+G16+G20+G28+G38+G47+G56</f>
        <v>56961162</v>
      </c>
      <c r="H5" s="540">
        <f t="shared" ref="H5:H68" si="0">IF(E5=0,"",G5/E5*100)</f>
        <v>107.63274024418681</v>
      </c>
      <c r="I5" s="107"/>
    </row>
    <row r="6" spans="2:10" s="65" customFormat="1" ht="17.100000000000001" customHeight="1" x14ac:dyDescent="0.2">
      <c r="B6" s="393">
        <v>711000</v>
      </c>
      <c r="C6" s="397" t="s">
        <v>155</v>
      </c>
      <c r="D6" s="398">
        <f>D7+D13</f>
        <v>6571770</v>
      </c>
      <c r="E6" s="398">
        <f>E7+E13</f>
        <v>6571770</v>
      </c>
      <c r="F6" s="398">
        <f>F7+F13</f>
        <v>3659566</v>
      </c>
      <c r="G6" s="399">
        <f>G7+G13</f>
        <v>6195690</v>
      </c>
      <c r="H6" s="541">
        <f t="shared" si="0"/>
        <v>94.277340807727597</v>
      </c>
      <c r="I6" s="108"/>
      <c r="J6" s="108"/>
    </row>
    <row r="7" spans="2:10" s="65" customFormat="1" ht="15" customHeight="1" x14ac:dyDescent="0.2">
      <c r="B7" s="400">
        <v>711100</v>
      </c>
      <c r="C7" s="401" t="s">
        <v>156</v>
      </c>
      <c r="D7" s="402">
        <f>SUM(D8:D12)</f>
        <v>2170</v>
      </c>
      <c r="E7" s="402">
        <f>SUM(E8:E12)</f>
        <v>2170</v>
      </c>
      <c r="F7" s="402">
        <f>SUM(F8:F12)</f>
        <v>212</v>
      </c>
      <c r="G7" s="403">
        <f>SUM(G8:G12)</f>
        <v>2420</v>
      </c>
      <c r="H7" s="542">
        <f t="shared" si="0"/>
        <v>111.52073732718894</v>
      </c>
      <c r="I7" s="108"/>
    </row>
    <row r="8" spans="2:10" ht="15" customHeight="1" x14ac:dyDescent="0.2">
      <c r="B8" s="404">
        <v>711111</v>
      </c>
      <c r="C8" s="405" t="s">
        <v>157</v>
      </c>
      <c r="D8" s="406">
        <v>1780</v>
      </c>
      <c r="E8" s="406">
        <v>1780</v>
      </c>
      <c r="F8" s="406">
        <v>209</v>
      </c>
      <c r="G8" s="407">
        <v>2350</v>
      </c>
      <c r="H8" s="543">
        <f t="shared" si="0"/>
        <v>132.02247191011236</v>
      </c>
      <c r="I8" s="108"/>
    </row>
    <row r="9" spans="2:10" ht="15" customHeight="1" x14ac:dyDescent="0.2">
      <c r="B9" s="404">
        <v>711112</v>
      </c>
      <c r="C9" s="405" t="s">
        <v>158</v>
      </c>
      <c r="D9" s="406">
        <v>0</v>
      </c>
      <c r="E9" s="406">
        <v>0</v>
      </c>
      <c r="F9" s="406">
        <v>0</v>
      </c>
      <c r="G9" s="407">
        <v>0</v>
      </c>
      <c r="H9" s="543" t="str">
        <f t="shared" si="0"/>
        <v/>
      </c>
      <c r="I9" s="108"/>
    </row>
    <row r="10" spans="2:10" ht="15" customHeight="1" x14ac:dyDescent="0.2">
      <c r="B10" s="404">
        <v>711113</v>
      </c>
      <c r="C10" s="405" t="s">
        <v>159</v>
      </c>
      <c r="D10" s="406">
        <v>0</v>
      </c>
      <c r="E10" s="406">
        <v>0</v>
      </c>
      <c r="F10" s="406">
        <v>0</v>
      </c>
      <c r="G10" s="407">
        <v>0</v>
      </c>
      <c r="H10" s="543" t="str">
        <f t="shared" si="0"/>
        <v/>
      </c>
      <c r="I10" s="108"/>
    </row>
    <row r="11" spans="2:10" ht="15" customHeight="1" x14ac:dyDescent="0.2">
      <c r="B11" s="404">
        <v>711114</v>
      </c>
      <c r="C11" s="405" t="s">
        <v>160</v>
      </c>
      <c r="D11" s="406">
        <v>50</v>
      </c>
      <c r="E11" s="406">
        <v>50</v>
      </c>
      <c r="F11" s="406">
        <v>3</v>
      </c>
      <c r="G11" s="407">
        <v>20</v>
      </c>
      <c r="H11" s="543">
        <f t="shared" si="0"/>
        <v>40</v>
      </c>
      <c r="I11" s="108"/>
    </row>
    <row r="12" spans="2:10" ht="15" customHeight="1" x14ac:dyDescent="0.2">
      <c r="B12" s="404">
        <v>711115</v>
      </c>
      <c r="C12" s="405" t="s">
        <v>161</v>
      </c>
      <c r="D12" s="406">
        <v>340</v>
      </c>
      <c r="E12" s="406">
        <v>340</v>
      </c>
      <c r="F12" s="406">
        <v>0</v>
      </c>
      <c r="G12" s="407">
        <v>50</v>
      </c>
      <c r="H12" s="543">
        <f t="shared" si="0"/>
        <v>14.705882352941178</v>
      </c>
      <c r="I12" s="108"/>
    </row>
    <row r="13" spans="2:10" s="65" customFormat="1" ht="15" customHeight="1" x14ac:dyDescent="0.2">
      <c r="B13" s="400">
        <v>711200</v>
      </c>
      <c r="C13" s="401" t="s">
        <v>162</v>
      </c>
      <c r="D13" s="402">
        <f>SUM(D14:D15)</f>
        <v>6569600</v>
      </c>
      <c r="E13" s="402">
        <f>SUM(E14:E15)</f>
        <v>6569600</v>
      </c>
      <c r="F13" s="402">
        <f>SUM(F14:F15)</f>
        <v>3659354</v>
      </c>
      <c r="G13" s="403">
        <f>SUM(G14:G15)</f>
        <v>6193270</v>
      </c>
      <c r="H13" s="542">
        <f t="shared" si="0"/>
        <v>94.271645153434008</v>
      </c>
      <c r="I13" s="108"/>
      <c r="J13" s="108"/>
    </row>
    <row r="14" spans="2:10" ht="15" customHeight="1" x14ac:dyDescent="0.2">
      <c r="B14" s="404">
        <v>711211</v>
      </c>
      <c r="C14" s="405" t="s">
        <v>163</v>
      </c>
      <c r="D14" s="406">
        <v>6459830</v>
      </c>
      <c r="E14" s="406">
        <v>6459830</v>
      </c>
      <c r="F14" s="406">
        <v>3574332</v>
      </c>
      <c r="G14" s="407">
        <f>6193270-148170</f>
        <v>6045100</v>
      </c>
      <c r="H14" s="543">
        <f t="shared" si="0"/>
        <v>93.579862008752556</v>
      </c>
      <c r="I14" s="108"/>
    </row>
    <row r="15" spans="2:10" ht="15" customHeight="1" x14ac:dyDescent="0.2">
      <c r="B15" s="404">
        <v>711212</v>
      </c>
      <c r="C15" s="405" t="s">
        <v>164</v>
      </c>
      <c r="D15" s="406">
        <v>109770</v>
      </c>
      <c r="E15" s="406">
        <v>109770</v>
      </c>
      <c r="F15" s="406">
        <v>85022</v>
      </c>
      <c r="G15" s="407">
        <f>137170+11000</f>
        <v>148170</v>
      </c>
      <c r="H15" s="543">
        <f t="shared" si="0"/>
        <v>134.98223558349275</v>
      </c>
      <c r="I15" s="108"/>
    </row>
    <row r="16" spans="2:10" s="65" customFormat="1" ht="17.100000000000001" customHeight="1" x14ac:dyDescent="0.2">
      <c r="B16" s="393">
        <v>713000</v>
      </c>
      <c r="C16" s="394" t="s">
        <v>165</v>
      </c>
      <c r="D16" s="398">
        <f>D17</f>
        <v>900</v>
      </c>
      <c r="E16" s="398">
        <f>E17</f>
        <v>900</v>
      </c>
      <c r="F16" s="398">
        <f>F17</f>
        <v>113</v>
      </c>
      <c r="G16" s="399">
        <f>G17</f>
        <v>640</v>
      </c>
      <c r="H16" s="541">
        <f t="shared" si="0"/>
        <v>71.111111111111114</v>
      </c>
      <c r="I16" s="108"/>
    </row>
    <row r="17" spans="2:14" s="65" customFormat="1" ht="15" customHeight="1" x14ac:dyDescent="0.2">
      <c r="B17" s="400">
        <v>713100</v>
      </c>
      <c r="C17" s="408" t="s">
        <v>166</v>
      </c>
      <c r="D17" s="402">
        <f>SUM(D18:D19)</f>
        <v>900</v>
      </c>
      <c r="E17" s="402">
        <f>SUM(E18:E19)</f>
        <v>900</v>
      </c>
      <c r="F17" s="402">
        <f>SUM(F18:F19)</f>
        <v>113</v>
      </c>
      <c r="G17" s="403">
        <f>SUM(G18:G19)</f>
        <v>640</v>
      </c>
      <c r="H17" s="542">
        <f t="shared" si="0"/>
        <v>71.111111111111114</v>
      </c>
      <c r="I17" s="108"/>
    </row>
    <row r="18" spans="2:14" ht="15" customHeight="1" x14ac:dyDescent="0.2">
      <c r="B18" s="404">
        <v>713111</v>
      </c>
      <c r="C18" s="405" t="s">
        <v>167</v>
      </c>
      <c r="D18" s="406">
        <v>900</v>
      </c>
      <c r="E18" s="406">
        <v>900</v>
      </c>
      <c r="F18" s="406">
        <v>113</v>
      </c>
      <c r="G18" s="407">
        <v>640</v>
      </c>
      <c r="H18" s="543">
        <f t="shared" si="0"/>
        <v>71.111111111111114</v>
      </c>
      <c r="I18" s="50"/>
    </row>
    <row r="19" spans="2:14" ht="15" customHeight="1" x14ac:dyDescent="0.2">
      <c r="B19" s="404">
        <v>713113</v>
      </c>
      <c r="C19" s="405" t="s">
        <v>168</v>
      </c>
      <c r="D19" s="406">
        <v>0</v>
      </c>
      <c r="E19" s="406">
        <v>0</v>
      </c>
      <c r="F19" s="406">
        <v>0</v>
      </c>
      <c r="G19" s="407">
        <v>0</v>
      </c>
      <c r="H19" s="543" t="str">
        <f t="shared" si="0"/>
        <v/>
      </c>
      <c r="I19" s="50"/>
    </row>
    <row r="20" spans="2:14" s="65" customFormat="1" ht="17.100000000000001" customHeight="1" x14ac:dyDescent="0.2">
      <c r="B20" s="393">
        <v>714000</v>
      </c>
      <c r="C20" s="394" t="s">
        <v>169</v>
      </c>
      <c r="D20" s="398">
        <f>D21</f>
        <v>479840</v>
      </c>
      <c r="E20" s="398">
        <f>E21</f>
        <v>479840</v>
      </c>
      <c r="F20" s="398">
        <f>F21</f>
        <v>153842</v>
      </c>
      <c r="G20" s="399">
        <f>G21</f>
        <v>329770</v>
      </c>
      <c r="H20" s="541">
        <f t="shared" si="0"/>
        <v>68.724991663887963</v>
      </c>
      <c r="I20" s="108"/>
      <c r="J20" s="108"/>
    </row>
    <row r="21" spans="2:14" s="65" customFormat="1" ht="15" customHeight="1" x14ac:dyDescent="0.2">
      <c r="B21" s="400">
        <v>714100</v>
      </c>
      <c r="C21" s="408" t="s">
        <v>170</v>
      </c>
      <c r="D21" s="402">
        <f>SUM(D22:D27)</f>
        <v>479840</v>
      </c>
      <c r="E21" s="402">
        <f>SUM(E22:E27)</f>
        <v>479840</v>
      </c>
      <c r="F21" s="402">
        <f>SUM(F22:F27)</f>
        <v>153842</v>
      </c>
      <c r="G21" s="403">
        <f>SUM(G22:G27)</f>
        <v>329770</v>
      </c>
      <c r="H21" s="542">
        <f t="shared" si="0"/>
        <v>68.724991663887963</v>
      </c>
      <c r="I21" s="108"/>
    </row>
    <row r="22" spans="2:14" ht="15" customHeight="1" x14ac:dyDescent="0.2">
      <c r="B22" s="404">
        <v>714111</v>
      </c>
      <c r="C22" s="405" t="s">
        <v>171</v>
      </c>
      <c r="D22" s="406">
        <v>38130</v>
      </c>
      <c r="E22" s="406">
        <v>38130</v>
      </c>
      <c r="F22" s="406">
        <v>26582</v>
      </c>
      <c r="G22" s="407">
        <v>43220</v>
      </c>
      <c r="H22" s="543">
        <f t="shared" si="0"/>
        <v>113.34906897456072</v>
      </c>
      <c r="I22" s="50"/>
    </row>
    <row r="23" spans="2:14" ht="15" customHeight="1" x14ac:dyDescent="0.2">
      <c r="B23" s="404">
        <v>714112</v>
      </c>
      <c r="C23" s="405" t="s">
        <v>172</v>
      </c>
      <c r="D23" s="406">
        <v>11020</v>
      </c>
      <c r="E23" s="406">
        <v>11020</v>
      </c>
      <c r="F23" s="406">
        <v>9204</v>
      </c>
      <c r="G23" s="407">
        <v>13920</v>
      </c>
      <c r="H23" s="543">
        <f t="shared" si="0"/>
        <v>126.31578947368421</v>
      </c>
      <c r="I23" s="50"/>
    </row>
    <row r="24" spans="2:14" ht="15" customHeight="1" x14ac:dyDescent="0.2">
      <c r="B24" s="404">
        <v>714113</v>
      </c>
      <c r="C24" s="405" t="s">
        <v>173</v>
      </c>
      <c r="D24" s="406">
        <v>9160</v>
      </c>
      <c r="E24" s="406">
        <v>9160</v>
      </c>
      <c r="F24" s="406">
        <v>3822</v>
      </c>
      <c r="G24" s="407">
        <v>8850</v>
      </c>
      <c r="H24" s="543">
        <f t="shared" si="0"/>
        <v>96.615720524017462</v>
      </c>
      <c r="I24" s="50"/>
    </row>
    <row r="25" spans="2:14" ht="15" customHeight="1" x14ac:dyDescent="0.2">
      <c r="B25" s="404">
        <v>714121</v>
      </c>
      <c r="C25" s="405" t="s">
        <v>174</v>
      </c>
      <c r="D25" s="406">
        <v>33870</v>
      </c>
      <c r="E25" s="406">
        <v>33870</v>
      </c>
      <c r="F25" s="406">
        <v>6908</v>
      </c>
      <c r="G25" s="407">
        <v>18820</v>
      </c>
      <c r="H25" s="543">
        <f t="shared" si="0"/>
        <v>55.565397106584001</v>
      </c>
      <c r="I25" s="50"/>
      <c r="N25" s="65"/>
    </row>
    <row r="26" spans="2:14" ht="15" customHeight="1" x14ac:dyDescent="0.2">
      <c r="B26" s="404">
        <v>714131</v>
      </c>
      <c r="C26" s="405" t="s">
        <v>175</v>
      </c>
      <c r="D26" s="406">
        <v>225980</v>
      </c>
      <c r="E26" s="406">
        <v>225980</v>
      </c>
      <c r="F26" s="406">
        <v>72224</v>
      </c>
      <c r="G26" s="407">
        <v>181230</v>
      </c>
      <c r="H26" s="543">
        <f t="shared" si="0"/>
        <v>80.197362598460046</v>
      </c>
      <c r="I26" s="50"/>
    </row>
    <row r="27" spans="2:14" ht="15" customHeight="1" x14ac:dyDescent="0.2">
      <c r="B27" s="404">
        <v>714132</v>
      </c>
      <c r="C27" s="405" t="s">
        <v>176</v>
      </c>
      <c r="D27" s="406">
        <v>161680</v>
      </c>
      <c r="E27" s="406">
        <v>161680</v>
      </c>
      <c r="F27" s="406">
        <v>35102</v>
      </c>
      <c r="G27" s="407">
        <v>63730</v>
      </c>
      <c r="H27" s="543">
        <f t="shared" si="0"/>
        <v>39.417367639782285</v>
      </c>
      <c r="I27" s="50"/>
    </row>
    <row r="28" spans="2:14" s="65" customFormat="1" ht="25.5" customHeight="1" x14ac:dyDescent="0.2">
      <c r="B28" s="393">
        <v>715000</v>
      </c>
      <c r="C28" s="397" t="s">
        <v>177</v>
      </c>
      <c r="D28" s="398">
        <f>D29+D34+D36</f>
        <v>5470</v>
      </c>
      <c r="E28" s="398">
        <f>E29+E34+E36</f>
        <v>5470</v>
      </c>
      <c r="F28" s="398">
        <f>F29+F34+F36</f>
        <v>1851</v>
      </c>
      <c r="G28" s="399">
        <f>G29+G34+G36</f>
        <v>5500</v>
      </c>
      <c r="H28" s="541">
        <f t="shared" si="0"/>
        <v>100.54844606946985</v>
      </c>
      <c r="I28" s="108"/>
    </row>
    <row r="29" spans="2:14" s="65" customFormat="1" ht="26.25" customHeight="1" x14ac:dyDescent="0.2">
      <c r="B29" s="400">
        <v>715100</v>
      </c>
      <c r="C29" s="409" t="s">
        <v>178</v>
      </c>
      <c r="D29" s="402">
        <f>SUM(D30:D33)</f>
        <v>4750</v>
      </c>
      <c r="E29" s="402">
        <f>SUM(E30:E33)</f>
        <v>4750</v>
      </c>
      <c r="F29" s="402">
        <f>SUM(F30:F33)</f>
        <v>1851</v>
      </c>
      <c r="G29" s="403">
        <f>SUM(G30:G33)</f>
        <v>5500</v>
      </c>
      <c r="H29" s="542">
        <f t="shared" si="0"/>
        <v>115.78947368421053</v>
      </c>
      <c r="I29" s="108"/>
    </row>
    <row r="30" spans="2:14" ht="15" customHeight="1" x14ac:dyDescent="0.2">
      <c r="B30" s="404">
        <v>715131</v>
      </c>
      <c r="C30" s="405" t="s">
        <v>179</v>
      </c>
      <c r="D30" s="406">
        <v>3480</v>
      </c>
      <c r="E30" s="406">
        <v>3480</v>
      </c>
      <c r="F30" s="406">
        <v>1827</v>
      </c>
      <c r="G30" s="407">
        <v>4240</v>
      </c>
      <c r="H30" s="543">
        <f t="shared" si="0"/>
        <v>121.83908045977012</v>
      </c>
      <c r="I30" s="50"/>
    </row>
    <row r="31" spans="2:14" ht="15" customHeight="1" x14ac:dyDescent="0.2">
      <c r="B31" s="404">
        <v>715132</v>
      </c>
      <c r="C31" s="405" t="s">
        <v>180</v>
      </c>
      <c r="D31" s="406">
        <v>0</v>
      </c>
      <c r="E31" s="406">
        <v>0</v>
      </c>
      <c r="F31" s="406">
        <v>0</v>
      </c>
      <c r="G31" s="407">
        <v>0</v>
      </c>
      <c r="H31" s="543" t="str">
        <f t="shared" si="0"/>
        <v/>
      </c>
      <c r="I31" s="50"/>
    </row>
    <row r="32" spans="2:14" ht="15" customHeight="1" x14ac:dyDescent="0.2">
      <c r="B32" s="404">
        <v>715137</v>
      </c>
      <c r="C32" s="405" t="s">
        <v>181</v>
      </c>
      <c r="D32" s="406">
        <v>0</v>
      </c>
      <c r="E32" s="406">
        <v>0</v>
      </c>
      <c r="F32" s="406">
        <v>0</v>
      </c>
      <c r="G32" s="407">
        <v>0</v>
      </c>
      <c r="H32" s="543" t="str">
        <f t="shared" si="0"/>
        <v/>
      </c>
      <c r="I32" s="50"/>
    </row>
    <row r="33" spans="2:14" ht="15" customHeight="1" x14ac:dyDescent="0.2">
      <c r="B33" s="404">
        <v>715141</v>
      </c>
      <c r="C33" s="405" t="s">
        <v>182</v>
      </c>
      <c r="D33" s="406">
        <v>1270</v>
      </c>
      <c r="E33" s="406">
        <v>1270</v>
      </c>
      <c r="F33" s="406">
        <v>24</v>
      </c>
      <c r="G33" s="407">
        <v>1260</v>
      </c>
      <c r="H33" s="543">
        <f t="shared" si="0"/>
        <v>99.212598425196859</v>
      </c>
      <c r="I33" s="50"/>
    </row>
    <row r="34" spans="2:14" s="65" customFormat="1" ht="15" customHeight="1" x14ac:dyDescent="0.2">
      <c r="B34" s="400">
        <v>715200</v>
      </c>
      <c r="C34" s="410" t="s">
        <v>183</v>
      </c>
      <c r="D34" s="402">
        <f>D35</f>
        <v>150</v>
      </c>
      <c r="E34" s="402">
        <f>E35</f>
        <v>150</v>
      </c>
      <c r="F34" s="402">
        <f>F35</f>
        <v>0</v>
      </c>
      <c r="G34" s="403">
        <f>G35</f>
        <v>0</v>
      </c>
      <c r="H34" s="542">
        <f t="shared" si="0"/>
        <v>0</v>
      </c>
      <c r="I34" s="108"/>
      <c r="J34"/>
    </row>
    <row r="35" spans="2:14" ht="15" customHeight="1" x14ac:dyDescent="0.2">
      <c r="B35" s="404">
        <v>715211</v>
      </c>
      <c r="C35" s="405" t="s">
        <v>184</v>
      </c>
      <c r="D35" s="406">
        <v>150</v>
      </c>
      <c r="E35" s="406">
        <v>150</v>
      </c>
      <c r="F35" s="406">
        <v>0</v>
      </c>
      <c r="G35" s="407">
        <v>0</v>
      </c>
      <c r="H35" s="543">
        <f t="shared" si="0"/>
        <v>0</v>
      </c>
      <c r="I35" s="50"/>
    </row>
    <row r="36" spans="2:14" s="65" customFormat="1" ht="15" customHeight="1" x14ac:dyDescent="0.2">
      <c r="B36" s="400">
        <v>715900</v>
      </c>
      <c r="C36" s="410" t="s">
        <v>185</v>
      </c>
      <c r="D36" s="402">
        <f>D37</f>
        <v>570</v>
      </c>
      <c r="E36" s="402">
        <f>E37</f>
        <v>570</v>
      </c>
      <c r="F36" s="402">
        <f>F37</f>
        <v>0</v>
      </c>
      <c r="G36" s="403">
        <f>G37</f>
        <v>0</v>
      </c>
      <c r="H36" s="542">
        <f t="shared" si="0"/>
        <v>0</v>
      </c>
      <c r="I36" s="108"/>
      <c r="J36"/>
    </row>
    <row r="37" spans="2:14" ht="27" customHeight="1" x14ac:dyDescent="0.2">
      <c r="B37" s="404">
        <v>715914</v>
      </c>
      <c r="C37" s="411" t="s">
        <v>186</v>
      </c>
      <c r="D37" s="406">
        <v>570</v>
      </c>
      <c r="E37" s="406">
        <v>570</v>
      </c>
      <c r="F37" s="406">
        <v>0</v>
      </c>
      <c r="G37" s="407">
        <v>0</v>
      </c>
      <c r="H37" s="543">
        <f t="shared" si="0"/>
        <v>0</v>
      </c>
      <c r="I37" s="50"/>
    </row>
    <row r="38" spans="2:14" s="65" customFormat="1" ht="17.100000000000001" customHeight="1" x14ac:dyDescent="0.2">
      <c r="B38" s="393">
        <v>716000</v>
      </c>
      <c r="C38" s="394" t="s">
        <v>187</v>
      </c>
      <c r="D38" s="398">
        <f>D39</f>
        <v>5836430</v>
      </c>
      <c r="E38" s="398">
        <f>E39</f>
        <v>5836430</v>
      </c>
      <c r="F38" s="398">
        <f>F39</f>
        <v>2788599</v>
      </c>
      <c r="G38" s="399">
        <f>G39</f>
        <v>5884520</v>
      </c>
      <c r="H38" s="541">
        <f t="shared" si="0"/>
        <v>100.82396259357176</v>
      </c>
      <c r="I38" s="108"/>
      <c r="J38"/>
      <c r="M38" s="108"/>
      <c r="N38" s="108"/>
    </row>
    <row r="39" spans="2:14" s="65" customFormat="1" ht="15" customHeight="1" x14ac:dyDescent="0.2">
      <c r="B39" s="400">
        <v>716100</v>
      </c>
      <c r="C39" s="410" t="s">
        <v>188</v>
      </c>
      <c r="D39" s="402">
        <f>SUM(D40:D46)</f>
        <v>5836430</v>
      </c>
      <c r="E39" s="402">
        <f>SUM(E40:E46)</f>
        <v>5836430</v>
      </c>
      <c r="F39" s="402">
        <f>SUM(F40:F46)</f>
        <v>2788599</v>
      </c>
      <c r="G39" s="403">
        <f>SUM(G40:G46)</f>
        <v>5884520</v>
      </c>
      <c r="H39" s="542">
        <f t="shared" si="0"/>
        <v>100.82396259357176</v>
      </c>
      <c r="I39" s="109"/>
      <c r="J39" s="108"/>
    </row>
    <row r="40" spans="2:14" ht="15" customHeight="1" x14ac:dyDescent="0.2">
      <c r="B40" s="404">
        <v>716111</v>
      </c>
      <c r="C40" s="405" t="s">
        <v>189</v>
      </c>
      <c r="D40" s="406">
        <v>4540260</v>
      </c>
      <c r="E40" s="406">
        <v>4540260</v>
      </c>
      <c r="F40" s="406">
        <v>2110007</v>
      </c>
      <c r="G40" s="407">
        <v>4689690</v>
      </c>
      <c r="H40" s="543">
        <f t="shared" si="0"/>
        <v>103.29122120759604</v>
      </c>
      <c r="I40" s="109"/>
      <c r="M40" s="50"/>
      <c r="N40" s="50"/>
    </row>
    <row r="41" spans="2:14" ht="15" customHeight="1" x14ac:dyDescent="0.2">
      <c r="B41" s="404">
        <v>716112</v>
      </c>
      <c r="C41" s="405" t="s">
        <v>190</v>
      </c>
      <c r="D41" s="406">
        <v>253550</v>
      </c>
      <c r="E41" s="406">
        <v>253550</v>
      </c>
      <c r="F41" s="406">
        <v>102633</v>
      </c>
      <c r="G41" s="407">
        <v>252480</v>
      </c>
      <c r="H41" s="543">
        <f t="shared" si="0"/>
        <v>99.577992506409004</v>
      </c>
      <c r="I41" s="109"/>
    </row>
    <row r="42" spans="2:14" ht="15" customHeight="1" x14ac:dyDescent="0.2">
      <c r="B42" s="404">
        <v>716113</v>
      </c>
      <c r="C42" s="405" t="s">
        <v>191</v>
      </c>
      <c r="D42" s="406">
        <v>48260</v>
      </c>
      <c r="E42" s="406">
        <v>48260</v>
      </c>
      <c r="F42" s="406">
        <v>9071</v>
      </c>
      <c r="G42" s="407">
        <v>21360</v>
      </c>
      <c r="H42" s="543">
        <f t="shared" si="0"/>
        <v>44.260256941566517</v>
      </c>
      <c r="I42" s="109"/>
    </row>
    <row r="43" spans="2:14" ht="15" customHeight="1" x14ac:dyDescent="0.2">
      <c r="B43" s="404">
        <v>716114</v>
      </c>
      <c r="C43" s="405" t="s">
        <v>192</v>
      </c>
      <c r="D43" s="406">
        <v>1300</v>
      </c>
      <c r="E43" s="406">
        <v>1300</v>
      </c>
      <c r="F43" s="406">
        <v>687</v>
      </c>
      <c r="G43" s="407">
        <v>1370</v>
      </c>
      <c r="H43" s="543">
        <f t="shared" si="0"/>
        <v>105.38461538461539</v>
      </c>
      <c r="I43" s="109"/>
    </row>
    <row r="44" spans="2:14" ht="25.5" customHeight="1" x14ac:dyDescent="0.2">
      <c r="B44" s="404">
        <v>716115</v>
      </c>
      <c r="C44" s="411" t="s">
        <v>193</v>
      </c>
      <c r="D44" s="406">
        <v>380550</v>
      </c>
      <c r="E44" s="406">
        <v>380550</v>
      </c>
      <c r="F44" s="406">
        <v>173757</v>
      </c>
      <c r="G44" s="407">
        <v>326400</v>
      </c>
      <c r="H44" s="543">
        <f t="shared" si="0"/>
        <v>85.770595191170671</v>
      </c>
      <c r="I44" s="109"/>
    </row>
    <row r="45" spans="2:14" ht="15" customHeight="1" x14ac:dyDescent="0.2">
      <c r="B45" s="404">
        <v>716116</v>
      </c>
      <c r="C45" s="405" t="s">
        <v>194</v>
      </c>
      <c r="D45" s="406">
        <v>348920</v>
      </c>
      <c r="E45" s="406">
        <v>348920</v>
      </c>
      <c r="F45" s="406">
        <v>161944</v>
      </c>
      <c r="G45" s="407">
        <v>310420</v>
      </c>
      <c r="H45" s="543">
        <f t="shared" si="0"/>
        <v>88.965952080706174</v>
      </c>
      <c r="I45" s="109"/>
    </row>
    <row r="46" spans="2:14" ht="15" customHeight="1" x14ac:dyDescent="0.2">
      <c r="B46" s="404">
        <v>716117</v>
      </c>
      <c r="C46" s="405" t="s">
        <v>195</v>
      </c>
      <c r="D46" s="406">
        <v>263590</v>
      </c>
      <c r="E46" s="406">
        <v>263590</v>
      </c>
      <c r="F46" s="406">
        <v>230500</v>
      </c>
      <c r="G46" s="407">
        <v>282800</v>
      </c>
      <c r="H46" s="543">
        <f t="shared" si="0"/>
        <v>107.287833377594</v>
      </c>
      <c r="I46" s="109"/>
    </row>
    <row r="47" spans="2:14" s="65" customFormat="1" ht="17.100000000000001" customHeight="1" x14ac:dyDescent="0.2">
      <c r="B47" s="393">
        <v>717000</v>
      </c>
      <c r="C47" s="394" t="s">
        <v>196</v>
      </c>
      <c r="D47" s="398">
        <f>D48</f>
        <v>40026850</v>
      </c>
      <c r="E47" s="398">
        <f>E48</f>
        <v>40026850</v>
      </c>
      <c r="F47" s="398">
        <f>F48</f>
        <v>19968040</v>
      </c>
      <c r="G47" s="399">
        <f>G48</f>
        <v>44544812</v>
      </c>
      <c r="H47" s="541">
        <f t="shared" si="0"/>
        <v>111.28732838082438</v>
      </c>
      <c r="I47" s="108"/>
      <c r="J47" s="50"/>
    </row>
    <row r="48" spans="2:14" s="65" customFormat="1" ht="15" customHeight="1" x14ac:dyDescent="0.2">
      <c r="B48" s="400">
        <v>717100</v>
      </c>
      <c r="C48" s="410" t="s">
        <v>197</v>
      </c>
      <c r="D48" s="402">
        <f>D49+D52+D53</f>
        <v>40026850</v>
      </c>
      <c r="E48" s="402">
        <f>E49+E52+E53</f>
        <v>40026850</v>
      </c>
      <c r="F48" s="402">
        <f>F49+F52+F53</f>
        <v>19968040</v>
      </c>
      <c r="G48" s="403">
        <f>G49+G52+G53</f>
        <v>44544812</v>
      </c>
      <c r="H48" s="542">
        <f t="shared" si="0"/>
        <v>111.28732838082438</v>
      </c>
      <c r="I48" s="108"/>
      <c r="J48" s="50"/>
    </row>
    <row r="49" spans="1:14" ht="15" customHeight="1" x14ac:dyDescent="0.2">
      <c r="B49" s="404">
        <v>717114</v>
      </c>
      <c r="C49" s="405" t="s">
        <v>198</v>
      </c>
      <c r="D49" s="406">
        <f t="shared" ref="D49" si="1">SUM(D50:D51)</f>
        <v>342720</v>
      </c>
      <c r="E49" s="406">
        <f t="shared" ref="E49" si="2">SUM(E50:E51)</f>
        <v>342720</v>
      </c>
      <c r="F49" s="406">
        <f t="shared" ref="F49" si="3">SUM(F50:F51)</f>
        <v>164336</v>
      </c>
      <c r="G49" s="407">
        <f t="shared" ref="G49" si="4">SUM(G50:G51)</f>
        <v>355510</v>
      </c>
      <c r="H49" s="543">
        <f t="shared" si="0"/>
        <v>103.73190943043883</v>
      </c>
      <c r="I49" s="50"/>
      <c r="J49" s="50"/>
    </row>
    <row r="50" spans="1:14" ht="15" customHeight="1" x14ac:dyDescent="0.2">
      <c r="B50" s="412"/>
      <c r="C50" s="413" t="s">
        <v>199</v>
      </c>
      <c r="D50" s="414">
        <v>0</v>
      </c>
      <c r="E50" s="414">
        <v>0</v>
      </c>
      <c r="F50" s="414">
        <v>0</v>
      </c>
      <c r="G50" s="415">
        <v>0</v>
      </c>
      <c r="H50" s="544" t="str">
        <f t="shared" si="0"/>
        <v/>
      </c>
      <c r="I50" s="50"/>
      <c r="J50" s="50"/>
    </row>
    <row r="51" spans="1:14" ht="15" customHeight="1" x14ac:dyDescent="0.2">
      <c r="B51" s="412"/>
      <c r="C51" s="413" t="s">
        <v>200</v>
      </c>
      <c r="D51" s="414">
        <v>342720</v>
      </c>
      <c r="E51" s="414">
        <v>342720</v>
      </c>
      <c r="F51" s="414">
        <v>164336</v>
      </c>
      <c r="G51" s="415">
        <v>355510</v>
      </c>
      <c r="H51" s="544">
        <f t="shared" si="0"/>
        <v>103.73190943043883</v>
      </c>
      <c r="I51" s="50"/>
      <c r="J51" s="50"/>
      <c r="N51" s="50"/>
    </row>
    <row r="52" spans="1:14" ht="15" customHeight="1" x14ac:dyDescent="0.2">
      <c r="B52" s="404">
        <v>717121</v>
      </c>
      <c r="C52" s="405" t="s">
        <v>201</v>
      </c>
      <c r="D52" s="406">
        <v>38632760</v>
      </c>
      <c r="E52" s="406">
        <v>38632760</v>
      </c>
      <c r="F52" s="406">
        <v>19242117</v>
      </c>
      <c r="G52" s="407">
        <v>42153130</v>
      </c>
      <c r="H52" s="543">
        <f t="shared" si="0"/>
        <v>109.11239580086951</v>
      </c>
      <c r="I52" s="505"/>
      <c r="J52" s="50"/>
      <c r="N52" s="50"/>
    </row>
    <row r="53" spans="1:14" ht="15" customHeight="1" x14ac:dyDescent="0.2">
      <c r="B53" s="404">
        <v>717131</v>
      </c>
      <c r="C53" s="405" t="s">
        <v>202</v>
      </c>
      <c r="D53" s="406">
        <f t="shared" ref="D53:F53" si="5">D54+D55</f>
        <v>1051370</v>
      </c>
      <c r="E53" s="406">
        <f t="shared" si="5"/>
        <v>1051370</v>
      </c>
      <c r="F53" s="406">
        <f t="shared" si="5"/>
        <v>561587</v>
      </c>
      <c r="G53" s="407">
        <f t="shared" ref="G53" si="6">G54+G55</f>
        <v>2036172</v>
      </c>
      <c r="H53" s="543">
        <f t="shared" si="0"/>
        <v>193.66845163928969</v>
      </c>
      <c r="I53" s="50"/>
      <c r="J53" s="50"/>
      <c r="N53" s="50"/>
    </row>
    <row r="54" spans="1:14" ht="15" customHeight="1" x14ac:dyDescent="0.2">
      <c r="B54" s="412"/>
      <c r="C54" s="413" t="s">
        <v>203</v>
      </c>
      <c r="D54" s="414">
        <v>0</v>
      </c>
      <c r="E54" s="414">
        <v>0</v>
      </c>
      <c r="F54" s="414">
        <v>0</v>
      </c>
      <c r="G54" s="415">
        <v>888992</v>
      </c>
      <c r="H54" s="544" t="str">
        <f t="shared" si="0"/>
        <v/>
      </c>
      <c r="I54" s="50"/>
      <c r="J54" s="50"/>
    </row>
    <row r="55" spans="1:14" ht="15" customHeight="1" x14ac:dyDescent="0.2">
      <c r="B55" s="412"/>
      <c r="C55" s="413" t="s">
        <v>204</v>
      </c>
      <c r="D55" s="414">
        <v>1051370</v>
      </c>
      <c r="E55" s="414">
        <v>1051370</v>
      </c>
      <c r="F55" s="414">
        <v>561587</v>
      </c>
      <c r="G55" s="415">
        <v>1147180</v>
      </c>
      <c r="H55" s="544">
        <f t="shared" si="0"/>
        <v>109.11287177682452</v>
      </c>
      <c r="I55" s="50"/>
      <c r="J55" s="50"/>
    </row>
    <row r="56" spans="1:14" s="65" customFormat="1" ht="17.100000000000001" customHeight="1" x14ac:dyDescent="0.2">
      <c r="B56" s="393">
        <v>719000</v>
      </c>
      <c r="C56" s="394" t="s">
        <v>205</v>
      </c>
      <c r="D56" s="398">
        <f>D57</f>
        <v>520</v>
      </c>
      <c r="E56" s="398">
        <f>E57</f>
        <v>520</v>
      </c>
      <c r="F56" s="398">
        <f>F57</f>
        <v>181</v>
      </c>
      <c r="G56" s="399">
        <f>G57</f>
        <v>230</v>
      </c>
      <c r="H56" s="541">
        <f t="shared" si="0"/>
        <v>44.230769230769226</v>
      </c>
      <c r="I56" s="108"/>
      <c r="J56"/>
    </row>
    <row r="57" spans="1:14" s="65" customFormat="1" ht="15" customHeight="1" x14ac:dyDescent="0.2">
      <c r="B57" s="400">
        <v>719100</v>
      </c>
      <c r="C57" s="410" t="s">
        <v>206</v>
      </c>
      <c r="D57" s="402">
        <f>SUM(D58:D60)</f>
        <v>520</v>
      </c>
      <c r="E57" s="402">
        <f>SUM(E58:E60)</f>
        <v>520</v>
      </c>
      <c r="F57" s="402">
        <f>SUM(F58:F60)</f>
        <v>181</v>
      </c>
      <c r="G57" s="403">
        <f>SUM(G58:G60)</f>
        <v>230</v>
      </c>
      <c r="H57" s="542">
        <f t="shared" si="0"/>
        <v>44.230769230769226</v>
      </c>
      <c r="I57" s="108"/>
      <c r="J57"/>
    </row>
    <row r="58" spans="1:14" ht="15" customHeight="1" thickBot="1" x14ac:dyDescent="0.25">
      <c r="A58" s="79"/>
      <c r="B58" s="404">
        <v>719111</v>
      </c>
      <c r="C58" s="405" t="s">
        <v>206</v>
      </c>
      <c r="D58" s="406">
        <v>520</v>
      </c>
      <c r="E58" s="406">
        <v>520</v>
      </c>
      <c r="F58" s="406">
        <v>181</v>
      </c>
      <c r="G58" s="407">
        <v>220</v>
      </c>
      <c r="H58" s="543">
        <f t="shared" si="0"/>
        <v>42.307692307692307</v>
      </c>
      <c r="I58" s="50"/>
    </row>
    <row r="59" spans="1:14" ht="15" customHeight="1" x14ac:dyDescent="0.2">
      <c r="B59" s="416">
        <v>719114</v>
      </c>
      <c r="C59" s="417" t="s">
        <v>207</v>
      </c>
      <c r="D59" s="418">
        <v>0</v>
      </c>
      <c r="E59" s="418">
        <v>0</v>
      </c>
      <c r="F59" s="418">
        <v>0</v>
      </c>
      <c r="G59" s="419">
        <v>10</v>
      </c>
      <c r="H59" s="545" t="str">
        <f t="shared" si="0"/>
        <v/>
      </c>
      <c r="I59" s="244"/>
    </row>
    <row r="60" spans="1:14" ht="25.5" x14ac:dyDescent="0.2">
      <c r="B60" s="404">
        <v>719115</v>
      </c>
      <c r="C60" s="411" t="s">
        <v>208</v>
      </c>
      <c r="D60" s="406">
        <v>0</v>
      </c>
      <c r="E60" s="406">
        <v>0</v>
      </c>
      <c r="F60" s="406">
        <v>0</v>
      </c>
      <c r="G60" s="407">
        <v>0</v>
      </c>
      <c r="H60" s="543" t="str">
        <f t="shared" si="0"/>
        <v/>
      </c>
      <c r="I60" s="39"/>
    </row>
    <row r="61" spans="1:14" x14ac:dyDescent="0.2">
      <c r="B61" s="404"/>
      <c r="C61" s="420"/>
      <c r="D61" s="406"/>
      <c r="E61" s="406"/>
      <c r="F61" s="406"/>
      <c r="G61" s="407"/>
      <c r="H61" s="543" t="str">
        <f t="shared" si="0"/>
        <v/>
      </c>
      <c r="I61" s="39"/>
    </row>
    <row r="62" spans="1:14" ht="17.100000000000001" customHeight="1" x14ac:dyDescent="0.2">
      <c r="B62" s="393">
        <v>720000</v>
      </c>
      <c r="C62" s="394" t="s">
        <v>209</v>
      </c>
      <c r="D62" s="395">
        <f>D63+D82+D177</f>
        <v>4094010</v>
      </c>
      <c r="E62" s="395">
        <f>E63+E82+E177</f>
        <v>4094010</v>
      </c>
      <c r="F62" s="395">
        <f>F63+F82+F177</f>
        <v>1904207</v>
      </c>
      <c r="G62" s="396">
        <f>G63+G82+G177</f>
        <v>3898134</v>
      </c>
      <c r="H62" s="540">
        <f t="shared" si="0"/>
        <v>95.215546615665332</v>
      </c>
      <c r="I62" s="50"/>
      <c r="J62" s="50"/>
    </row>
    <row r="63" spans="1:14" ht="25.5" x14ac:dyDescent="0.2">
      <c r="B63" s="393">
        <v>721000</v>
      </c>
      <c r="C63" s="421" t="s">
        <v>210</v>
      </c>
      <c r="D63" s="398">
        <f t="shared" ref="D63:F63" si="7">D64+D68+D73+D76+D78+D80</f>
        <v>186600</v>
      </c>
      <c r="E63" s="398">
        <f t="shared" si="7"/>
        <v>186600</v>
      </c>
      <c r="F63" s="398">
        <f t="shared" si="7"/>
        <v>60814</v>
      </c>
      <c r="G63" s="399">
        <f t="shared" ref="G63" si="8">G64+G68+G73+G76+G78+G80</f>
        <v>128550</v>
      </c>
      <c r="H63" s="541">
        <f t="shared" si="0"/>
        <v>68.890675241157567</v>
      </c>
      <c r="I63" s="244"/>
    </row>
    <row r="64" spans="1:14" ht="15" customHeight="1" x14ac:dyDescent="0.2">
      <c r="B64" s="400">
        <v>721100</v>
      </c>
      <c r="C64" s="410" t="s">
        <v>211</v>
      </c>
      <c r="D64" s="402">
        <f t="shared" ref="D64" si="9">SUM(D65:D67)</f>
        <v>170620</v>
      </c>
      <c r="E64" s="402">
        <f t="shared" ref="E64" si="10">SUM(E65:E67)</f>
        <v>170620</v>
      </c>
      <c r="F64" s="402">
        <f t="shared" ref="F64:G64" si="11">SUM(F65:F67)</f>
        <v>55336</v>
      </c>
      <c r="G64" s="403">
        <f t="shared" si="11"/>
        <v>113740</v>
      </c>
      <c r="H64" s="542">
        <f t="shared" si="0"/>
        <v>66.6627593482593</v>
      </c>
      <c r="I64" s="244"/>
    </row>
    <row r="65" spans="2:10" ht="15" customHeight="1" x14ac:dyDescent="0.2">
      <c r="B65" s="404">
        <v>721112</v>
      </c>
      <c r="C65" s="405" t="s">
        <v>212</v>
      </c>
      <c r="D65" s="406">
        <v>620</v>
      </c>
      <c r="E65" s="406">
        <v>620</v>
      </c>
      <c r="F65" s="406">
        <v>38</v>
      </c>
      <c r="G65" s="407">
        <v>16620</v>
      </c>
      <c r="H65" s="543">
        <f t="shared" si="0"/>
        <v>2680.6451612903224</v>
      </c>
      <c r="I65" s="244"/>
    </row>
    <row r="66" spans="2:10" ht="15" customHeight="1" x14ac:dyDescent="0.2">
      <c r="B66" s="404">
        <v>721121</v>
      </c>
      <c r="C66" s="405" t="s">
        <v>213</v>
      </c>
      <c r="D66" s="406">
        <v>170000</v>
      </c>
      <c r="E66" s="406">
        <v>170000</v>
      </c>
      <c r="F66" s="406">
        <v>55298</v>
      </c>
      <c r="G66" s="407">
        <f>400000-302880</f>
        <v>97120</v>
      </c>
      <c r="H66" s="543">
        <f t="shared" si="0"/>
        <v>57.129411764705885</v>
      </c>
      <c r="I66" s="244"/>
      <c r="J66" s="50"/>
    </row>
    <row r="67" spans="2:10" ht="15" customHeight="1" x14ac:dyDescent="0.2">
      <c r="B67" s="404">
        <v>721123</v>
      </c>
      <c r="C67" s="405" t="s">
        <v>214</v>
      </c>
      <c r="D67" s="406">
        <v>0</v>
      </c>
      <c r="E67" s="406">
        <v>0</v>
      </c>
      <c r="F67" s="406">
        <v>0</v>
      </c>
      <c r="G67" s="407">
        <v>0</v>
      </c>
      <c r="H67" s="543" t="str">
        <f t="shared" si="0"/>
        <v/>
      </c>
      <c r="I67" s="244"/>
    </row>
    <row r="68" spans="2:10" ht="15" customHeight="1" x14ac:dyDescent="0.2">
      <c r="B68" s="400">
        <v>721200</v>
      </c>
      <c r="C68" s="410" t="s">
        <v>215</v>
      </c>
      <c r="D68" s="402">
        <f>SUM(D69:D72)</f>
        <v>15960</v>
      </c>
      <c r="E68" s="402">
        <f>SUM(E69:E72)</f>
        <v>15960</v>
      </c>
      <c r="F68" s="402">
        <f>SUM(F69:F72)</f>
        <v>5398</v>
      </c>
      <c r="G68" s="403">
        <f>SUM(G69:G72)</f>
        <v>14700</v>
      </c>
      <c r="H68" s="542">
        <f t="shared" si="0"/>
        <v>92.10526315789474</v>
      </c>
      <c r="I68" s="244"/>
      <c r="J68" s="50"/>
    </row>
    <row r="69" spans="2:10" ht="15" customHeight="1" x14ac:dyDescent="0.2">
      <c r="B69" s="404">
        <v>721211</v>
      </c>
      <c r="C69" s="405" t="s">
        <v>216</v>
      </c>
      <c r="D69" s="406">
        <v>600</v>
      </c>
      <c r="E69" s="406">
        <v>600</v>
      </c>
      <c r="F69" s="406">
        <v>199</v>
      </c>
      <c r="G69" s="407">
        <v>390</v>
      </c>
      <c r="H69" s="543">
        <f t="shared" ref="H69:H132" si="12">IF(E69=0,"",G69/E69*100)</f>
        <v>65</v>
      </c>
    </row>
    <row r="70" spans="2:10" ht="15" customHeight="1" x14ac:dyDescent="0.2">
      <c r="B70" s="404">
        <v>721215</v>
      </c>
      <c r="C70" s="405" t="s">
        <v>217</v>
      </c>
      <c r="D70" s="406">
        <v>30</v>
      </c>
      <c r="E70" s="406">
        <v>30</v>
      </c>
      <c r="F70" s="406">
        <v>0</v>
      </c>
      <c r="G70" s="407">
        <v>0</v>
      </c>
      <c r="H70" s="543">
        <f t="shared" si="12"/>
        <v>0</v>
      </c>
    </row>
    <row r="71" spans="2:10" ht="15" customHeight="1" x14ac:dyDescent="0.2">
      <c r="B71" s="404">
        <v>721225</v>
      </c>
      <c r="C71" s="405" t="s">
        <v>218</v>
      </c>
      <c r="D71" s="406">
        <v>8130</v>
      </c>
      <c r="E71" s="406">
        <v>8130</v>
      </c>
      <c r="F71" s="406">
        <v>2116</v>
      </c>
      <c r="G71" s="407">
        <v>8130</v>
      </c>
      <c r="H71" s="543">
        <f t="shared" si="12"/>
        <v>100</v>
      </c>
    </row>
    <row r="72" spans="2:10" ht="15" customHeight="1" x14ac:dyDescent="0.2">
      <c r="B72" s="404">
        <v>721227</v>
      </c>
      <c r="C72" s="405" t="s">
        <v>219</v>
      </c>
      <c r="D72" s="406">
        <v>7200</v>
      </c>
      <c r="E72" s="406">
        <v>7200</v>
      </c>
      <c r="F72" s="406">
        <v>3083</v>
      </c>
      <c r="G72" s="407">
        <f>3090*2</f>
        <v>6180</v>
      </c>
      <c r="H72" s="543">
        <f t="shared" si="12"/>
        <v>85.833333333333329</v>
      </c>
    </row>
    <row r="73" spans="2:10" ht="15" customHeight="1" x14ac:dyDescent="0.2">
      <c r="B73" s="400">
        <v>721300</v>
      </c>
      <c r="C73" s="410" t="s">
        <v>220</v>
      </c>
      <c r="D73" s="402">
        <f>SUM(D74:D75)</f>
        <v>0</v>
      </c>
      <c r="E73" s="402">
        <f>SUM(E74:E75)</f>
        <v>0</v>
      </c>
      <c r="F73" s="402">
        <f>SUM(F74:F75)</f>
        <v>80</v>
      </c>
      <c r="G73" s="403">
        <f>SUM(G74:G75)</f>
        <v>100</v>
      </c>
      <c r="H73" s="542" t="str">
        <f t="shared" si="12"/>
        <v/>
      </c>
      <c r="I73" s="244"/>
    </row>
    <row r="74" spans="2:10" ht="15" customHeight="1" x14ac:dyDescent="0.2">
      <c r="B74" s="404">
        <v>721311</v>
      </c>
      <c r="C74" s="405" t="s">
        <v>221</v>
      </c>
      <c r="D74" s="406">
        <v>0</v>
      </c>
      <c r="E74" s="406">
        <v>0</v>
      </c>
      <c r="F74" s="406">
        <v>80</v>
      </c>
      <c r="G74" s="407">
        <v>100</v>
      </c>
      <c r="H74" s="543" t="str">
        <f t="shared" si="12"/>
        <v/>
      </c>
    </row>
    <row r="75" spans="2:10" ht="15" customHeight="1" x14ac:dyDescent="0.2">
      <c r="B75" s="404">
        <v>721312</v>
      </c>
      <c r="C75" s="405" t="s">
        <v>222</v>
      </c>
      <c r="D75" s="406">
        <v>0</v>
      </c>
      <c r="E75" s="406">
        <v>0</v>
      </c>
      <c r="F75" s="406">
        <v>0</v>
      </c>
      <c r="G75" s="407">
        <v>0</v>
      </c>
      <c r="H75" s="543" t="str">
        <f t="shared" si="12"/>
        <v/>
      </c>
    </row>
    <row r="76" spans="2:10" ht="15" customHeight="1" x14ac:dyDescent="0.2">
      <c r="B76" s="400">
        <v>721500</v>
      </c>
      <c r="C76" s="410" t="s">
        <v>223</v>
      </c>
      <c r="D76" s="402">
        <f>D77</f>
        <v>20</v>
      </c>
      <c r="E76" s="402">
        <f>E77</f>
        <v>20</v>
      </c>
      <c r="F76" s="402">
        <f>F77</f>
        <v>0</v>
      </c>
      <c r="G76" s="403">
        <f>G77</f>
        <v>10</v>
      </c>
      <c r="H76" s="542">
        <f t="shared" si="12"/>
        <v>50</v>
      </c>
      <c r="I76" s="244"/>
    </row>
    <row r="77" spans="2:10" ht="15" customHeight="1" x14ac:dyDescent="0.2">
      <c r="B77" s="404">
        <v>721511</v>
      </c>
      <c r="C77" s="405" t="s">
        <v>223</v>
      </c>
      <c r="D77" s="406">
        <v>20</v>
      </c>
      <c r="E77" s="406">
        <v>20</v>
      </c>
      <c r="F77" s="406">
        <v>0</v>
      </c>
      <c r="G77" s="407">
        <v>10</v>
      </c>
      <c r="H77" s="543">
        <f t="shared" si="12"/>
        <v>50</v>
      </c>
    </row>
    <row r="78" spans="2:10" ht="15" customHeight="1" x14ac:dyDescent="0.2">
      <c r="B78" s="400">
        <v>721600</v>
      </c>
      <c r="C78" s="410" t="s">
        <v>224</v>
      </c>
      <c r="D78" s="402">
        <f>D79</f>
        <v>0</v>
      </c>
      <c r="E78" s="402">
        <f>E79</f>
        <v>0</v>
      </c>
      <c r="F78" s="402">
        <f>F79</f>
        <v>0</v>
      </c>
      <c r="G78" s="403">
        <f>G79</f>
        <v>0</v>
      </c>
      <c r="H78" s="542" t="str">
        <f t="shared" si="12"/>
        <v/>
      </c>
      <c r="J78" s="50"/>
    </row>
    <row r="79" spans="2:10" ht="15" customHeight="1" x14ac:dyDescent="0.2">
      <c r="B79" s="404">
        <v>721613</v>
      </c>
      <c r="C79" s="405" t="s">
        <v>225</v>
      </c>
      <c r="D79" s="406">
        <v>0</v>
      </c>
      <c r="E79" s="406">
        <v>0</v>
      </c>
      <c r="F79" s="406">
        <v>0</v>
      </c>
      <c r="G79" s="407">
        <v>0</v>
      </c>
      <c r="H79" s="543" t="str">
        <f t="shared" si="12"/>
        <v/>
      </c>
      <c r="J79" s="50"/>
    </row>
    <row r="80" spans="2:10" ht="15" customHeight="1" x14ac:dyDescent="0.2">
      <c r="B80" s="400">
        <v>721700</v>
      </c>
      <c r="C80" s="410" t="s">
        <v>226</v>
      </c>
      <c r="D80" s="402">
        <f>D81</f>
        <v>0</v>
      </c>
      <c r="E80" s="402">
        <f>E81</f>
        <v>0</v>
      </c>
      <c r="F80" s="402">
        <f>F81</f>
        <v>0</v>
      </c>
      <c r="G80" s="403">
        <f>G81</f>
        <v>0</v>
      </c>
      <c r="H80" s="542" t="str">
        <f t="shared" si="12"/>
        <v/>
      </c>
      <c r="I80" s="244"/>
    </row>
    <row r="81" spans="2:10" ht="15" customHeight="1" x14ac:dyDescent="0.2">
      <c r="B81" s="404">
        <v>721712</v>
      </c>
      <c r="C81" s="405" t="s">
        <v>227</v>
      </c>
      <c r="D81" s="406">
        <v>0</v>
      </c>
      <c r="E81" s="406">
        <v>0</v>
      </c>
      <c r="F81" s="406">
        <v>0</v>
      </c>
      <c r="G81" s="407">
        <v>0</v>
      </c>
      <c r="H81" s="543" t="str">
        <f t="shared" si="12"/>
        <v/>
      </c>
    </row>
    <row r="82" spans="2:10" ht="15" x14ac:dyDescent="0.2">
      <c r="B82" s="393">
        <v>722000</v>
      </c>
      <c r="C82" s="397" t="s">
        <v>228</v>
      </c>
      <c r="D82" s="395">
        <f>D83+D85+D87+D105+D154+D170</f>
        <v>2875560</v>
      </c>
      <c r="E82" s="395">
        <f>E83+E85+E87+E105+E154+E170</f>
        <v>2875560</v>
      </c>
      <c r="F82" s="395">
        <f>F83+F85+F87+F105+F154+F170</f>
        <v>1450429</v>
      </c>
      <c r="G82" s="396">
        <f>G83+G85+G87+G105+G154+G170</f>
        <v>2809074</v>
      </c>
      <c r="H82" s="541">
        <f t="shared" si="12"/>
        <v>97.687893836331014</v>
      </c>
      <c r="I82" s="244"/>
      <c r="J82" s="50"/>
    </row>
    <row r="83" spans="2:10" ht="15" customHeight="1" x14ac:dyDescent="0.2">
      <c r="B83" s="400">
        <v>722100</v>
      </c>
      <c r="C83" s="401" t="s">
        <v>229</v>
      </c>
      <c r="D83" s="402">
        <f>D84</f>
        <v>159400</v>
      </c>
      <c r="E83" s="402">
        <f>E84</f>
        <v>159400</v>
      </c>
      <c r="F83" s="402">
        <f>F84</f>
        <v>73458</v>
      </c>
      <c r="G83" s="403">
        <f>G84</f>
        <v>159890</v>
      </c>
      <c r="H83" s="542">
        <f t="shared" si="12"/>
        <v>100.30740276035132</v>
      </c>
      <c r="J83" s="50"/>
    </row>
    <row r="84" spans="2:10" ht="15" customHeight="1" x14ac:dyDescent="0.2">
      <c r="B84" s="404">
        <v>722121</v>
      </c>
      <c r="C84" s="405" t="s">
        <v>230</v>
      </c>
      <c r="D84" s="406">
        <v>159400</v>
      </c>
      <c r="E84" s="406">
        <v>159400</v>
      </c>
      <c r="F84" s="406">
        <v>73458</v>
      </c>
      <c r="G84" s="407">
        <v>159890</v>
      </c>
      <c r="H84" s="543">
        <f t="shared" si="12"/>
        <v>100.30740276035132</v>
      </c>
      <c r="J84" s="50"/>
    </row>
    <row r="85" spans="2:10" ht="15" customHeight="1" x14ac:dyDescent="0.2">
      <c r="B85" s="400">
        <v>722200</v>
      </c>
      <c r="C85" s="401" t="s">
        <v>231</v>
      </c>
      <c r="D85" s="402">
        <f>SUM(D86:D86)</f>
        <v>395880</v>
      </c>
      <c r="E85" s="402">
        <f>SUM(E86:E86)</f>
        <v>395880</v>
      </c>
      <c r="F85" s="402">
        <f>SUM(F86:F86)</f>
        <v>174208</v>
      </c>
      <c r="G85" s="403">
        <f>SUM(G86:G86)</f>
        <v>386460</v>
      </c>
      <c r="H85" s="542">
        <f t="shared" si="12"/>
        <v>97.620491057896331</v>
      </c>
      <c r="J85" s="50"/>
    </row>
    <row r="86" spans="2:10" ht="15" customHeight="1" x14ac:dyDescent="0.2">
      <c r="B86" s="404">
        <v>722221</v>
      </c>
      <c r="C86" s="405" t="s">
        <v>232</v>
      </c>
      <c r="D86" s="406">
        <v>395880</v>
      </c>
      <c r="E86" s="406">
        <v>395880</v>
      </c>
      <c r="F86" s="406">
        <v>174208</v>
      </c>
      <c r="G86" s="407">
        <v>386460</v>
      </c>
      <c r="H86" s="543">
        <f t="shared" si="12"/>
        <v>97.620491057896331</v>
      </c>
      <c r="J86" s="50"/>
    </row>
    <row r="87" spans="2:10" ht="15" customHeight="1" x14ac:dyDescent="0.2">
      <c r="B87" s="400">
        <v>722400</v>
      </c>
      <c r="C87" s="401" t="s">
        <v>233</v>
      </c>
      <c r="D87" s="402">
        <f>D88+D95+D98</f>
        <v>463880</v>
      </c>
      <c r="E87" s="402">
        <f>E88+E95+E98</f>
        <v>463880</v>
      </c>
      <c r="F87" s="402">
        <f>F88+F95+F98</f>
        <v>364425</v>
      </c>
      <c r="G87" s="403">
        <f>G88+G95+G98</f>
        <v>438980</v>
      </c>
      <c r="H87" s="542">
        <f t="shared" si="12"/>
        <v>94.632232473915664</v>
      </c>
      <c r="I87" s="244"/>
      <c r="J87" s="50"/>
    </row>
    <row r="88" spans="2:10" ht="15" customHeight="1" x14ac:dyDescent="0.2">
      <c r="B88" s="422">
        <v>722420</v>
      </c>
      <c r="C88" s="423" t="s">
        <v>234</v>
      </c>
      <c r="D88" s="424">
        <f>D89+D90+D93+D94</f>
        <v>216210</v>
      </c>
      <c r="E88" s="424">
        <f>E89+E90+E93+E94</f>
        <v>216210</v>
      </c>
      <c r="F88" s="424">
        <f>F89+F90+F93+F94</f>
        <v>241558</v>
      </c>
      <c r="G88" s="425">
        <f>G89+G90+G93+G94</f>
        <v>191270</v>
      </c>
      <c r="H88" s="542">
        <f t="shared" si="12"/>
        <v>88.46491836640304</v>
      </c>
      <c r="I88" s="244"/>
      <c r="J88" s="50"/>
    </row>
    <row r="89" spans="2:10" ht="15" customHeight="1" x14ac:dyDescent="0.2">
      <c r="B89" s="404">
        <v>722421</v>
      </c>
      <c r="C89" s="405" t="s">
        <v>234</v>
      </c>
      <c r="D89" s="406">
        <v>0</v>
      </c>
      <c r="E89" s="406">
        <v>0</v>
      </c>
      <c r="F89" s="406">
        <v>0</v>
      </c>
      <c r="G89" s="407">
        <v>0</v>
      </c>
      <c r="H89" s="543" t="str">
        <f t="shared" si="12"/>
        <v/>
      </c>
      <c r="J89" s="50"/>
    </row>
    <row r="90" spans="2:10" ht="15" customHeight="1" x14ac:dyDescent="0.2">
      <c r="B90" s="404">
        <v>722422</v>
      </c>
      <c r="C90" s="405" t="s">
        <v>235</v>
      </c>
      <c r="D90" s="406">
        <f t="shared" ref="D90" si="13">SUM(D91:D92)</f>
        <v>208140</v>
      </c>
      <c r="E90" s="406">
        <f t="shared" ref="E90" si="14">SUM(E91:E92)</f>
        <v>208140</v>
      </c>
      <c r="F90" s="406">
        <f t="shared" ref="F90:G90" si="15">SUM(F91:F92)</f>
        <v>236834</v>
      </c>
      <c r="G90" s="407">
        <f t="shared" si="15"/>
        <v>182880</v>
      </c>
      <c r="H90" s="543">
        <f t="shared" si="12"/>
        <v>87.863937734217359</v>
      </c>
      <c r="I90" s="244"/>
      <c r="J90" s="50"/>
    </row>
    <row r="91" spans="2:10" s="309" customFormat="1" ht="15" customHeight="1" x14ac:dyDescent="0.2">
      <c r="B91" s="412"/>
      <c r="C91" s="426" t="s">
        <v>236</v>
      </c>
      <c r="D91" s="414">
        <v>0</v>
      </c>
      <c r="E91" s="414">
        <v>0</v>
      </c>
      <c r="F91" s="414">
        <v>0</v>
      </c>
      <c r="G91" s="415">
        <v>0</v>
      </c>
      <c r="H91" s="544" t="str">
        <f t="shared" si="12"/>
        <v/>
      </c>
      <c r="J91" s="50"/>
    </row>
    <row r="92" spans="2:10" s="309" customFormat="1" ht="15" customHeight="1" x14ac:dyDescent="0.2">
      <c r="B92" s="412"/>
      <c r="C92" s="426" t="s">
        <v>237</v>
      </c>
      <c r="D92" s="414">
        <v>208140</v>
      </c>
      <c r="E92" s="414">
        <v>208140</v>
      </c>
      <c r="F92" s="414">
        <v>236834</v>
      </c>
      <c r="G92" s="415">
        <f>302880-120000</f>
        <v>182880</v>
      </c>
      <c r="H92" s="544">
        <f t="shared" si="12"/>
        <v>87.863937734217359</v>
      </c>
      <c r="J92" s="50"/>
    </row>
    <row r="93" spans="2:10" ht="15" customHeight="1" x14ac:dyDescent="0.2">
      <c r="B93" s="404">
        <v>722424</v>
      </c>
      <c r="C93" s="405" t="s">
        <v>238</v>
      </c>
      <c r="D93" s="406">
        <v>6570</v>
      </c>
      <c r="E93" s="406">
        <v>6570</v>
      </c>
      <c r="F93" s="406">
        <v>3144</v>
      </c>
      <c r="G93" s="407">
        <v>6600</v>
      </c>
      <c r="H93" s="543">
        <f t="shared" si="12"/>
        <v>100.4566210045662</v>
      </c>
      <c r="J93" s="50"/>
    </row>
    <row r="94" spans="2:10" ht="15" customHeight="1" x14ac:dyDescent="0.2">
      <c r="B94" s="404">
        <v>722429</v>
      </c>
      <c r="C94" s="405" t="s">
        <v>239</v>
      </c>
      <c r="D94" s="406">
        <v>1500</v>
      </c>
      <c r="E94" s="406">
        <v>1500</v>
      </c>
      <c r="F94" s="406">
        <v>1580</v>
      </c>
      <c r="G94" s="407">
        <v>1790</v>
      </c>
      <c r="H94" s="543">
        <f t="shared" si="12"/>
        <v>119.33333333333334</v>
      </c>
      <c r="J94" s="50"/>
    </row>
    <row r="95" spans="2:10" ht="15" customHeight="1" x14ac:dyDescent="0.2">
      <c r="B95" s="422">
        <v>722450</v>
      </c>
      <c r="C95" s="423" t="s">
        <v>240</v>
      </c>
      <c r="D95" s="424">
        <f>SUM(D96:D97)</f>
        <v>2500</v>
      </c>
      <c r="E95" s="424">
        <f>SUM(E96:E97)</f>
        <v>2500</v>
      </c>
      <c r="F95" s="424">
        <f>SUM(F96:F97)</f>
        <v>5465</v>
      </c>
      <c r="G95" s="425">
        <f>SUM(G96:G97)</f>
        <v>5470</v>
      </c>
      <c r="H95" s="542">
        <f t="shared" si="12"/>
        <v>218.8</v>
      </c>
      <c r="I95" s="244"/>
      <c r="J95" s="50"/>
    </row>
    <row r="96" spans="2:10" ht="15" customHeight="1" x14ac:dyDescent="0.2">
      <c r="B96" s="404">
        <v>722451</v>
      </c>
      <c r="C96" s="405" t="s">
        <v>241</v>
      </c>
      <c r="D96" s="406">
        <v>2500</v>
      </c>
      <c r="E96" s="406">
        <v>2500</v>
      </c>
      <c r="F96" s="406">
        <v>5465</v>
      </c>
      <c r="G96" s="407">
        <v>5470</v>
      </c>
      <c r="H96" s="543">
        <f t="shared" si="12"/>
        <v>218.8</v>
      </c>
      <c r="J96" s="50"/>
    </row>
    <row r="97" spans="2:10" ht="15" customHeight="1" x14ac:dyDescent="0.2">
      <c r="B97" s="404">
        <v>722454</v>
      </c>
      <c r="C97" s="405" t="s">
        <v>242</v>
      </c>
      <c r="D97" s="406">
        <v>0</v>
      </c>
      <c r="E97" s="406">
        <v>0</v>
      </c>
      <c r="F97" s="406">
        <v>0</v>
      </c>
      <c r="G97" s="407">
        <v>0</v>
      </c>
      <c r="H97" s="543" t="str">
        <f t="shared" si="12"/>
        <v/>
      </c>
      <c r="J97" s="50"/>
    </row>
    <row r="98" spans="2:10" ht="25.5" x14ac:dyDescent="0.2">
      <c r="B98" s="422">
        <v>722470</v>
      </c>
      <c r="C98" s="427" t="s">
        <v>243</v>
      </c>
      <c r="D98" s="424">
        <f t="shared" ref="D98:E98" si="16">D99+D102+D104+D103</f>
        <v>245170</v>
      </c>
      <c r="E98" s="424">
        <f t="shared" si="16"/>
        <v>245170</v>
      </c>
      <c r="F98" s="424">
        <f>F99+F102+F104+F103</f>
        <v>117402</v>
      </c>
      <c r="G98" s="425">
        <f>G99+G102+G104+G103</f>
        <v>242240</v>
      </c>
      <c r="H98" s="558">
        <f t="shared" si="12"/>
        <v>98.804910878166169</v>
      </c>
      <c r="I98" s="244"/>
      <c r="J98" s="50"/>
    </row>
    <row r="99" spans="2:10" ht="15" customHeight="1" x14ac:dyDescent="0.2">
      <c r="B99" s="404">
        <v>722471</v>
      </c>
      <c r="C99" s="405" t="s">
        <v>244</v>
      </c>
      <c r="D99" s="406">
        <f t="shared" ref="D99" si="17">SUM(D100:D101)</f>
        <v>205500</v>
      </c>
      <c r="E99" s="406">
        <f t="shared" ref="E99" si="18">SUM(E100:E101)</f>
        <v>205500</v>
      </c>
      <c r="F99" s="406">
        <f t="shared" ref="F99" si="19">SUM(F100:F101)</f>
        <v>91807</v>
      </c>
      <c r="G99" s="407">
        <f t="shared" ref="G99" si="20">SUM(G100:G101)</f>
        <v>196660</v>
      </c>
      <c r="H99" s="543">
        <f t="shared" si="12"/>
        <v>95.698296836982962</v>
      </c>
      <c r="I99" s="333"/>
      <c r="J99" s="50"/>
    </row>
    <row r="100" spans="2:10" s="309" customFormat="1" ht="15" customHeight="1" x14ac:dyDescent="0.2">
      <c r="B100" s="412"/>
      <c r="C100" s="426" t="s">
        <v>245</v>
      </c>
      <c r="D100" s="414">
        <v>37360</v>
      </c>
      <c r="E100" s="414">
        <v>37360</v>
      </c>
      <c r="F100" s="414">
        <v>0</v>
      </c>
      <c r="G100" s="415">
        <v>40860</v>
      </c>
      <c r="H100" s="544">
        <f t="shared" si="12"/>
        <v>109.36830835117772</v>
      </c>
      <c r="J100" s="50"/>
    </row>
    <row r="101" spans="2:10" s="309" customFormat="1" ht="15" customHeight="1" x14ac:dyDescent="0.2">
      <c r="B101" s="412"/>
      <c r="C101" s="426" t="s">
        <v>237</v>
      </c>
      <c r="D101" s="414">
        <v>168140</v>
      </c>
      <c r="E101" s="414">
        <v>168140</v>
      </c>
      <c r="F101" s="414">
        <v>91807</v>
      </c>
      <c r="G101" s="415">
        <f>143000+12800</f>
        <v>155800</v>
      </c>
      <c r="H101" s="544">
        <f t="shared" si="12"/>
        <v>92.660877839895335</v>
      </c>
      <c r="J101"/>
    </row>
    <row r="102" spans="2:10" ht="25.5" x14ac:dyDescent="0.2">
      <c r="B102" s="404">
        <v>722472</v>
      </c>
      <c r="C102" s="411" t="s">
        <v>246</v>
      </c>
      <c r="D102" s="406">
        <v>32680</v>
      </c>
      <c r="E102" s="406">
        <v>32680</v>
      </c>
      <c r="F102" s="406">
        <v>24110</v>
      </c>
      <c r="G102" s="407">
        <v>41150</v>
      </c>
      <c r="H102" s="543">
        <f t="shared" si="12"/>
        <v>125.91799265605874</v>
      </c>
    </row>
    <row r="103" spans="2:10" ht="24" customHeight="1" x14ac:dyDescent="0.2">
      <c r="B103" s="404">
        <v>722475</v>
      </c>
      <c r="C103" s="411" t="s">
        <v>247</v>
      </c>
      <c r="D103" s="406">
        <v>0</v>
      </c>
      <c r="E103" s="406">
        <v>0</v>
      </c>
      <c r="F103" s="406">
        <v>1365</v>
      </c>
      <c r="G103" s="407">
        <v>1400</v>
      </c>
      <c r="H103" s="543" t="str">
        <f t="shared" si="12"/>
        <v/>
      </c>
    </row>
    <row r="104" spans="2:10" ht="17.100000000000001" customHeight="1" x14ac:dyDescent="0.2">
      <c r="B104" s="404">
        <v>722479</v>
      </c>
      <c r="C104" s="411" t="s">
        <v>248</v>
      </c>
      <c r="D104" s="406">
        <v>6990</v>
      </c>
      <c r="E104" s="406">
        <v>6990</v>
      </c>
      <c r="F104" s="406">
        <v>120</v>
      </c>
      <c r="G104" s="407">
        <v>3030</v>
      </c>
      <c r="H104" s="543">
        <f t="shared" si="12"/>
        <v>43.347639484978536</v>
      </c>
      <c r="I104" s="244"/>
    </row>
    <row r="105" spans="2:10" ht="27" customHeight="1" x14ac:dyDescent="0.2">
      <c r="B105" s="400">
        <v>722500</v>
      </c>
      <c r="C105" s="401" t="s">
        <v>249</v>
      </c>
      <c r="D105" s="402">
        <f>D106+D111+D125+D131+D133+D145</f>
        <v>1322690</v>
      </c>
      <c r="E105" s="402">
        <f>E106+E111+E125+E131+E133+E145</f>
        <v>1322690</v>
      </c>
      <c r="F105" s="402">
        <f>F106+F111+F125+F131+F133+F145</f>
        <v>566928</v>
      </c>
      <c r="G105" s="403">
        <f>G106+G111+G125+G131+G133+G145</f>
        <v>1259664</v>
      </c>
      <c r="H105" s="542">
        <f t="shared" si="12"/>
        <v>95.235013495225644</v>
      </c>
      <c r="I105" s="244"/>
      <c r="J105" s="50"/>
    </row>
    <row r="106" spans="2:10" x14ac:dyDescent="0.2">
      <c r="B106" s="422">
        <v>722510</v>
      </c>
      <c r="C106" s="428" t="s">
        <v>250</v>
      </c>
      <c r="D106" s="424">
        <f t="shared" ref="D106" si="21">SUM(D107:D110)</f>
        <v>22410</v>
      </c>
      <c r="E106" s="424">
        <f t="shared" ref="E106" si="22">SUM(E107:E110)</f>
        <v>22410</v>
      </c>
      <c r="F106" s="424">
        <f t="shared" ref="F106" si="23">SUM(F107:F110)</f>
        <v>6145</v>
      </c>
      <c r="G106" s="425">
        <f t="shared" ref="G106" si="24">SUM(G107:G110)</f>
        <v>14090</v>
      </c>
      <c r="H106" s="558">
        <f t="shared" si="12"/>
        <v>62.873717090584556</v>
      </c>
      <c r="J106" s="50"/>
    </row>
    <row r="107" spans="2:10" x14ac:dyDescent="0.2">
      <c r="B107" s="404">
        <v>722511</v>
      </c>
      <c r="C107" s="429" t="s">
        <v>251</v>
      </c>
      <c r="D107" s="406">
        <v>30</v>
      </c>
      <c r="E107" s="406">
        <v>30</v>
      </c>
      <c r="F107" s="406">
        <v>30</v>
      </c>
      <c r="G107" s="407">
        <v>50</v>
      </c>
      <c r="H107" s="543">
        <f t="shared" si="12"/>
        <v>166.66666666666669</v>
      </c>
      <c r="J107" s="50"/>
    </row>
    <row r="108" spans="2:10" ht="15.75" customHeight="1" x14ac:dyDescent="0.2">
      <c r="B108" s="404">
        <v>722514</v>
      </c>
      <c r="C108" s="429" t="s">
        <v>252</v>
      </c>
      <c r="D108" s="406">
        <v>1690</v>
      </c>
      <c r="E108" s="406">
        <v>1690</v>
      </c>
      <c r="F108" s="406">
        <v>448</v>
      </c>
      <c r="G108" s="407">
        <v>1320</v>
      </c>
      <c r="H108" s="543">
        <f t="shared" si="12"/>
        <v>78.10650887573965</v>
      </c>
      <c r="J108" s="50"/>
    </row>
    <row r="109" spans="2:10" ht="15" customHeight="1" x14ac:dyDescent="0.2">
      <c r="B109" s="404">
        <v>722515</v>
      </c>
      <c r="C109" s="420" t="s">
        <v>253</v>
      </c>
      <c r="D109" s="406">
        <v>20660</v>
      </c>
      <c r="E109" s="406">
        <v>20660</v>
      </c>
      <c r="F109" s="406">
        <v>5642</v>
      </c>
      <c r="G109" s="407">
        <v>12550</v>
      </c>
      <c r="H109" s="543">
        <f t="shared" si="12"/>
        <v>60.745401742497585</v>
      </c>
      <c r="J109" s="50"/>
    </row>
    <row r="110" spans="2:10" ht="15" customHeight="1" x14ac:dyDescent="0.2">
      <c r="B110" s="404">
        <v>722516</v>
      </c>
      <c r="C110" s="420" t="s">
        <v>254</v>
      </c>
      <c r="D110" s="406">
        <v>30</v>
      </c>
      <c r="E110" s="406">
        <v>30</v>
      </c>
      <c r="F110" s="406">
        <v>25</v>
      </c>
      <c r="G110" s="407">
        <v>170</v>
      </c>
      <c r="H110" s="543">
        <f t="shared" si="12"/>
        <v>566.66666666666674</v>
      </c>
      <c r="I110" s="244"/>
      <c r="J110" s="50"/>
    </row>
    <row r="111" spans="2:10" x14ac:dyDescent="0.2">
      <c r="B111" s="422">
        <v>722520</v>
      </c>
      <c r="C111" s="430" t="s">
        <v>255</v>
      </c>
      <c r="D111" s="424">
        <f>D112+D115+D116+D117+D118+D119+D120+D123+D124</f>
        <v>282290</v>
      </c>
      <c r="E111" s="424">
        <f>E112+E115+E116+E117+E118+E119+E120+E123+E124</f>
        <v>282290</v>
      </c>
      <c r="F111" s="424">
        <f t="shared" ref="F111:G111" si="25">F112+F115+F116+F117+F118+F119+F120+F123+F124</f>
        <v>193355</v>
      </c>
      <c r="G111" s="425">
        <f t="shared" si="25"/>
        <v>310000</v>
      </c>
      <c r="H111" s="558">
        <f t="shared" si="12"/>
        <v>109.81614651599418</v>
      </c>
      <c r="J111" s="50"/>
    </row>
    <row r="112" spans="2:10" s="309" customFormat="1" ht="27" customHeight="1" x14ac:dyDescent="0.2">
      <c r="B112" s="404">
        <v>722521</v>
      </c>
      <c r="C112" s="429" t="s">
        <v>256</v>
      </c>
      <c r="D112" s="406">
        <f t="shared" ref="D112:F112" si="26">D113+D114</f>
        <v>103410</v>
      </c>
      <c r="E112" s="406">
        <f t="shared" si="26"/>
        <v>103410</v>
      </c>
      <c r="F112" s="406">
        <f t="shared" si="26"/>
        <v>51599</v>
      </c>
      <c r="G112" s="407">
        <f t="shared" ref="G112" si="27">G113+G114</f>
        <v>71360</v>
      </c>
      <c r="H112" s="543">
        <f t="shared" si="12"/>
        <v>69.006865873706602</v>
      </c>
      <c r="J112" s="50"/>
    </row>
    <row r="113" spans="2:11" s="309" customFormat="1" ht="15" customHeight="1" x14ac:dyDescent="0.2">
      <c r="B113" s="412"/>
      <c r="C113" s="426" t="s">
        <v>257</v>
      </c>
      <c r="D113" s="414">
        <v>0</v>
      </c>
      <c r="E113" s="414">
        <v>0</v>
      </c>
      <c r="F113" s="414">
        <v>0</v>
      </c>
      <c r="G113" s="415">
        <v>0</v>
      </c>
      <c r="H113" s="544" t="str">
        <f t="shared" si="12"/>
        <v/>
      </c>
      <c r="J113" s="50"/>
    </row>
    <row r="114" spans="2:11" ht="15" customHeight="1" x14ac:dyDescent="0.2">
      <c r="B114" s="412"/>
      <c r="C114" s="426" t="s">
        <v>258</v>
      </c>
      <c r="D114" s="414">
        <v>103410</v>
      </c>
      <c r="E114" s="414">
        <v>103410</v>
      </c>
      <c r="F114" s="414">
        <v>51599</v>
      </c>
      <c r="G114" s="415">
        <f>102880-31520</f>
        <v>71360</v>
      </c>
      <c r="H114" s="545">
        <f t="shared" si="12"/>
        <v>69.006865873706602</v>
      </c>
      <c r="J114" s="50"/>
    </row>
    <row r="115" spans="2:11" ht="25.5" x14ac:dyDescent="0.2">
      <c r="B115" s="416">
        <v>722522</v>
      </c>
      <c r="C115" s="431" t="s">
        <v>259</v>
      </c>
      <c r="D115" s="418">
        <v>24850</v>
      </c>
      <c r="E115" s="418">
        <v>24850</v>
      </c>
      <c r="F115" s="418">
        <v>12364</v>
      </c>
      <c r="G115" s="419">
        <v>24940</v>
      </c>
      <c r="H115" s="543">
        <f t="shared" si="12"/>
        <v>100.36217303822939</v>
      </c>
      <c r="J115" s="50"/>
    </row>
    <row r="116" spans="2:11" ht="16.5" customHeight="1" x14ac:dyDescent="0.2">
      <c r="B116" s="404">
        <v>722523</v>
      </c>
      <c r="C116" s="429" t="s">
        <v>260</v>
      </c>
      <c r="D116" s="406">
        <v>7870</v>
      </c>
      <c r="E116" s="406">
        <v>7870</v>
      </c>
      <c r="F116" s="406">
        <v>3628</v>
      </c>
      <c r="G116" s="407">
        <v>7420</v>
      </c>
      <c r="H116" s="543">
        <f t="shared" si="12"/>
        <v>94.282083862770023</v>
      </c>
      <c r="J116" s="50"/>
    </row>
    <row r="117" spans="2:11" ht="25.5" x14ac:dyDescent="0.2">
      <c r="B117" s="404">
        <v>722524</v>
      </c>
      <c r="C117" s="429" t="s">
        <v>261</v>
      </c>
      <c r="D117" s="406">
        <v>0</v>
      </c>
      <c r="E117" s="406">
        <v>0</v>
      </c>
      <c r="F117" s="406">
        <v>512</v>
      </c>
      <c r="G117" s="407">
        <v>520</v>
      </c>
      <c r="H117" s="543" t="str">
        <f t="shared" si="12"/>
        <v/>
      </c>
      <c r="J117" s="50"/>
      <c r="K117" s="50"/>
    </row>
    <row r="118" spans="2:11" ht="27.75" customHeight="1" x14ac:dyDescent="0.2">
      <c r="B118" s="404">
        <v>722525</v>
      </c>
      <c r="C118" s="429" t="s">
        <v>262</v>
      </c>
      <c r="D118" s="406">
        <v>180</v>
      </c>
      <c r="E118" s="406">
        <v>180</v>
      </c>
      <c r="F118" s="406">
        <v>67</v>
      </c>
      <c r="G118" s="407">
        <v>140</v>
      </c>
      <c r="H118" s="543">
        <f t="shared" si="12"/>
        <v>77.777777777777786</v>
      </c>
      <c r="J118" s="50"/>
    </row>
    <row r="119" spans="2:11" ht="16.5" customHeight="1" x14ac:dyDescent="0.2">
      <c r="B119" s="404">
        <v>722526</v>
      </c>
      <c r="C119" s="429" t="s">
        <v>263</v>
      </c>
      <c r="D119" s="406">
        <v>50</v>
      </c>
      <c r="E119" s="406">
        <v>50</v>
      </c>
      <c r="F119" s="406">
        <v>9</v>
      </c>
      <c r="G119" s="407">
        <v>40</v>
      </c>
      <c r="H119" s="543">
        <f t="shared" si="12"/>
        <v>80</v>
      </c>
      <c r="I119" s="537"/>
      <c r="J119" s="50"/>
    </row>
    <row r="120" spans="2:11" ht="15" customHeight="1" x14ac:dyDescent="0.2">
      <c r="B120" s="404">
        <v>722527</v>
      </c>
      <c r="C120" s="420" t="s">
        <v>264</v>
      </c>
      <c r="D120" s="406">
        <f>D121+D122</f>
        <v>0</v>
      </c>
      <c r="E120" s="406">
        <f>E121+E122</f>
        <v>0</v>
      </c>
      <c r="F120" s="406">
        <f t="shared" ref="F120:G120" si="28">F121+F122</f>
        <v>49379</v>
      </c>
      <c r="G120" s="407">
        <f t="shared" si="28"/>
        <v>63200</v>
      </c>
      <c r="H120" s="543" t="str">
        <f t="shared" si="12"/>
        <v/>
      </c>
      <c r="I120" s="537"/>
      <c r="J120" s="50"/>
    </row>
    <row r="121" spans="2:11" ht="15" customHeight="1" x14ac:dyDescent="0.2">
      <c r="B121" s="404"/>
      <c r="C121" s="426" t="s">
        <v>257</v>
      </c>
      <c r="D121" s="414">
        <v>0</v>
      </c>
      <c r="E121" s="414">
        <v>0</v>
      </c>
      <c r="F121" s="414">
        <v>0</v>
      </c>
      <c r="G121" s="415">
        <v>0</v>
      </c>
      <c r="H121" s="543" t="str">
        <f t="shared" si="12"/>
        <v/>
      </c>
      <c r="I121" s="537"/>
      <c r="J121" s="50"/>
    </row>
    <row r="122" spans="2:11" ht="15" customHeight="1" x14ac:dyDescent="0.2">
      <c r="B122" s="404"/>
      <c r="C122" s="426" t="s">
        <v>258</v>
      </c>
      <c r="D122" s="414">
        <v>0</v>
      </c>
      <c r="E122" s="414">
        <v>0</v>
      </c>
      <c r="F122" s="414">
        <v>49379</v>
      </c>
      <c r="G122" s="415">
        <v>63200</v>
      </c>
      <c r="H122" s="543" t="str">
        <f t="shared" si="12"/>
        <v/>
      </c>
      <c r="J122" s="50"/>
    </row>
    <row r="123" spans="2:11" ht="15" customHeight="1" x14ac:dyDescent="0.2">
      <c r="B123" s="404">
        <v>722528</v>
      </c>
      <c r="C123" s="420" t="s">
        <v>265</v>
      </c>
      <c r="D123" s="406">
        <v>450</v>
      </c>
      <c r="E123" s="406">
        <v>450</v>
      </c>
      <c r="F123" s="406">
        <v>114</v>
      </c>
      <c r="G123" s="407">
        <v>220</v>
      </c>
      <c r="H123" s="543">
        <f t="shared" si="12"/>
        <v>48.888888888888886</v>
      </c>
      <c r="J123" s="50"/>
    </row>
    <row r="124" spans="2:11" ht="15" customHeight="1" x14ac:dyDescent="0.2">
      <c r="B124" s="404">
        <v>722529</v>
      </c>
      <c r="C124" s="420" t="s">
        <v>266</v>
      </c>
      <c r="D124" s="406">
        <v>145480</v>
      </c>
      <c r="E124" s="406">
        <v>145480</v>
      </c>
      <c r="F124" s="406">
        <v>75683</v>
      </c>
      <c r="G124" s="407">
        <v>142160</v>
      </c>
      <c r="H124" s="543">
        <f t="shared" si="12"/>
        <v>97.71789936761067</v>
      </c>
      <c r="I124" s="244"/>
      <c r="J124" s="50"/>
    </row>
    <row r="125" spans="2:11" ht="15" customHeight="1" x14ac:dyDescent="0.2">
      <c r="B125" s="422">
        <v>722530</v>
      </c>
      <c r="C125" s="430" t="s">
        <v>267</v>
      </c>
      <c r="D125" s="424">
        <f>SUM(D126:D130)</f>
        <v>385020</v>
      </c>
      <c r="E125" s="424">
        <f>SUM(E126:E130)</f>
        <v>385020</v>
      </c>
      <c r="F125" s="424">
        <f>SUM(F126:F130)</f>
        <v>198050</v>
      </c>
      <c r="G125" s="425">
        <f>SUM(G126:G130)</f>
        <v>400600</v>
      </c>
      <c r="H125" s="542">
        <f t="shared" si="12"/>
        <v>104.04654303672535</v>
      </c>
      <c r="J125" s="50"/>
    </row>
    <row r="126" spans="2:11" ht="15" customHeight="1" x14ac:dyDescent="0.2">
      <c r="B126" s="404">
        <v>722531</v>
      </c>
      <c r="C126" s="420" t="s">
        <v>268</v>
      </c>
      <c r="D126" s="406">
        <v>94230</v>
      </c>
      <c r="E126" s="406">
        <v>94230</v>
      </c>
      <c r="F126" s="406">
        <v>53081</v>
      </c>
      <c r="G126" s="407">
        <v>95180</v>
      </c>
      <c r="H126" s="543">
        <f t="shared" si="12"/>
        <v>101.00817149527752</v>
      </c>
      <c r="J126" s="50"/>
    </row>
    <row r="127" spans="2:11" ht="15" customHeight="1" x14ac:dyDescent="0.2">
      <c r="B127" s="404">
        <v>722532</v>
      </c>
      <c r="C127" s="420" t="s">
        <v>269</v>
      </c>
      <c r="D127" s="406">
        <v>290750</v>
      </c>
      <c r="E127" s="406">
        <v>290750</v>
      </c>
      <c r="F127" s="406">
        <v>144961</v>
      </c>
      <c r="G127" s="407">
        <v>305410</v>
      </c>
      <c r="H127" s="543">
        <f t="shared" si="12"/>
        <v>105.04213241616509</v>
      </c>
      <c r="J127" s="50"/>
    </row>
    <row r="128" spans="2:11" ht="15" customHeight="1" x14ac:dyDescent="0.2">
      <c r="B128" s="404">
        <v>722535</v>
      </c>
      <c r="C128" s="420" t="s">
        <v>270</v>
      </c>
      <c r="D128" s="406">
        <v>40</v>
      </c>
      <c r="E128" s="406">
        <v>40</v>
      </c>
      <c r="F128" s="406">
        <v>8</v>
      </c>
      <c r="G128" s="407">
        <v>10</v>
      </c>
      <c r="H128" s="543">
        <f t="shared" si="12"/>
        <v>25</v>
      </c>
      <c r="J128" s="50"/>
    </row>
    <row r="129" spans="2:12" ht="15" customHeight="1" x14ac:dyDescent="0.2">
      <c r="B129" s="404">
        <v>722538</v>
      </c>
      <c r="C129" s="420" t="s">
        <v>271</v>
      </c>
      <c r="D129" s="406">
        <v>0</v>
      </c>
      <c r="E129" s="406">
        <v>0</v>
      </c>
      <c r="F129" s="406">
        <v>0</v>
      </c>
      <c r="G129" s="407">
        <v>0</v>
      </c>
      <c r="H129" s="543" t="str">
        <f t="shared" si="12"/>
        <v/>
      </c>
      <c r="J129" s="50"/>
    </row>
    <row r="130" spans="2:12" ht="15" customHeight="1" x14ac:dyDescent="0.2">
      <c r="B130" s="404">
        <v>722539</v>
      </c>
      <c r="C130" s="420" t="s">
        <v>272</v>
      </c>
      <c r="D130" s="406">
        <v>0</v>
      </c>
      <c r="E130" s="406">
        <v>0</v>
      </c>
      <c r="F130" s="406">
        <v>0</v>
      </c>
      <c r="G130" s="407">
        <v>0</v>
      </c>
      <c r="H130" s="542" t="str">
        <f t="shared" si="12"/>
        <v/>
      </c>
      <c r="I130" s="244"/>
      <c r="J130" s="50"/>
    </row>
    <row r="131" spans="2:12" ht="15" customHeight="1" x14ac:dyDescent="0.2">
      <c r="B131" s="422">
        <v>722540</v>
      </c>
      <c r="C131" s="430" t="s">
        <v>273</v>
      </c>
      <c r="D131" s="424">
        <f>D132</f>
        <v>330</v>
      </c>
      <c r="E131" s="424">
        <f>E132</f>
        <v>330</v>
      </c>
      <c r="F131" s="424">
        <f>F132</f>
        <v>271</v>
      </c>
      <c r="G131" s="425">
        <f>G132</f>
        <v>290</v>
      </c>
      <c r="H131" s="542">
        <f t="shared" si="12"/>
        <v>87.878787878787875</v>
      </c>
      <c r="J131" s="50"/>
    </row>
    <row r="132" spans="2:12" ht="15" customHeight="1" x14ac:dyDescent="0.2">
      <c r="B132" s="404">
        <v>722541</v>
      </c>
      <c r="C132" s="420" t="s">
        <v>274</v>
      </c>
      <c r="D132" s="406">
        <v>330</v>
      </c>
      <c r="E132" s="406">
        <v>330</v>
      </c>
      <c r="F132" s="406">
        <v>271</v>
      </c>
      <c r="G132" s="407">
        <v>290</v>
      </c>
      <c r="H132" s="543">
        <f t="shared" si="12"/>
        <v>87.878787878787875</v>
      </c>
      <c r="I132" s="244"/>
      <c r="J132" s="50"/>
      <c r="L132" s="50"/>
    </row>
    <row r="133" spans="2:12" ht="15" customHeight="1" x14ac:dyDescent="0.2">
      <c r="B133" s="422">
        <v>722550</v>
      </c>
      <c r="C133" s="430" t="s">
        <v>275</v>
      </c>
      <c r="D133" s="424">
        <f>D134+D136+D138+D140+D142</f>
        <v>430000</v>
      </c>
      <c r="E133" s="424">
        <f>E134+E136+E138+E140+E142</f>
        <v>430000</v>
      </c>
      <c r="F133" s="424">
        <f t="shared" ref="F133:G133" si="29">F134+F136+F138+F140+F142</f>
        <v>113932</v>
      </c>
      <c r="G133" s="425">
        <f t="shared" si="29"/>
        <v>427874</v>
      </c>
      <c r="H133" s="542">
        <f t="shared" ref="H133:H197" si="30">IF(E133=0,"",G133/E133*100)</f>
        <v>99.505581395348841</v>
      </c>
      <c r="J133" s="50"/>
      <c r="K133" s="50"/>
    </row>
    <row r="134" spans="2:12" s="309" customFormat="1" ht="15" customHeight="1" x14ac:dyDescent="0.2">
      <c r="B134" s="404">
        <v>722551</v>
      </c>
      <c r="C134" s="420" t="s">
        <v>276</v>
      </c>
      <c r="D134" s="406">
        <f>D135</f>
        <v>9800</v>
      </c>
      <c r="E134" s="406">
        <f>E135</f>
        <v>9800</v>
      </c>
      <c r="F134" s="406">
        <f>F135</f>
        <v>0</v>
      </c>
      <c r="G134" s="407">
        <f>G135</f>
        <v>0</v>
      </c>
      <c r="H134" s="544">
        <f t="shared" si="30"/>
        <v>0</v>
      </c>
      <c r="J134" s="50"/>
    </row>
    <row r="135" spans="2:12" ht="15" customHeight="1" x14ac:dyDescent="0.2">
      <c r="B135" s="412"/>
      <c r="C135" s="426" t="s">
        <v>258</v>
      </c>
      <c r="D135" s="414">
        <v>9800</v>
      </c>
      <c r="E135" s="414">
        <v>9800</v>
      </c>
      <c r="F135" s="414">
        <v>0</v>
      </c>
      <c r="G135" s="415">
        <v>0</v>
      </c>
      <c r="H135" s="543">
        <f t="shared" si="30"/>
        <v>0</v>
      </c>
      <c r="J135" s="50"/>
    </row>
    <row r="136" spans="2:12" s="309" customFormat="1" ht="15" customHeight="1" x14ac:dyDescent="0.2">
      <c r="B136" s="404">
        <v>722552</v>
      </c>
      <c r="C136" s="420" t="s">
        <v>277</v>
      </c>
      <c r="D136" s="406">
        <f>D137</f>
        <v>8820</v>
      </c>
      <c r="E136" s="406">
        <f>E137</f>
        <v>8820</v>
      </c>
      <c r="F136" s="406">
        <f>F137</f>
        <v>8544</v>
      </c>
      <c r="G136" s="407">
        <f>G137</f>
        <v>16320</v>
      </c>
      <c r="H136" s="544">
        <f t="shared" si="30"/>
        <v>185.03401360544217</v>
      </c>
      <c r="J136" s="50"/>
    </row>
    <row r="137" spans="2:12" ht="15" customHeight="1" x14ac:dyDescent="0.2">
      <c r="B137" s="412"/>
      <c r="C137" s="426" t="s">
        <v>258</v>
      </c>
      <c r="D137" s="414">
        <v>8820</v>
      </c>
      <c r="E137" s="414">
        <v>8820</v>
      </c>
      <c r="F137" s="414">
        <v>8544</v>
      </c>
      <c r="G137" s="415">
        <v>16320</v>
      </c>
      <c r="H137" s="543">
        <f t="shared" si="30"/>
        <v>185.03401360544217</v>
      </c>
      <c r="J137" s="50"/>
    </row>
    <row r="138" spans="2:12" s="309" customFormat="1" ht="15" customHeight="1" x14ac:dyDescent="0.2">
      <c r="B138" s="404">
        <v>722553</v>
      </c>
      <c r="C138" s="420" t="s">
        <v>278</v>
      </c>
      <c r="D138" s="406">
        <f>D139</f>
        <v>260</v>
      </c>
      <c r="E138" s="406">
        <f>E139</f>
        <v>260</v>
      </c>
      <c r="F138" s="406">
        <f>F139</f>
        <v>235</v>
      </c>
      <c r="G138" s="407">
        <f>G139</f>
        <v>240</v>
      </c>
      <c r="H138" s="544">
        <f t="shared" si="30"/>
        <v>92.307692307692307</v>
      </c>
      <c r="J138" s="50"/>
    </row>
    <row r="139" spans="2:12" x14ac:dyDescent="0.2">
      <c r="B139" s="412"/>
      <c r="C139" s="426" t="s">
        <v>258</v>
      </c>
      <c r="D139" s="414">
        <v>260</v>
      </c>
      <c r="E139" s="414">
        <v>260</v>
      </c>
      <c r="F139" s="414">
        <v>235</v>
      </c>
      <c r="G139" s="415">
        <v>240</v>
      </c>
      <c r="H139" s="543">
        <f t="shared" si="30"/>
        <v>92.307692307692307</v>
      </c>
      <c r="J139" s="50"/>
    </row>
    <row r="140" spans="2:12" s="309" customFormat="1" ht="24" customHeight="1" x14ac:dyDescent="0.2">
      <c r="B140" s="404">
        <v>722555</v>
      </c>
      <c r="C140" s="429" t="s">
        <v>279</v>
      </c>
      <c r="D140" s="406">
        <f>D141</f>
        <v>68630</v>
      </c>
      <c r="E140" s="406">
        <f>E141</f>
        <v>68630</v>
      </c>
      <c r="F140" s="406">
        <f>F141</f>
        <v>38511</v>
      </c>
      <c r="G140" s="407">
        <f>G141</f>
        <v>68690</v>
      </c>
      <c r="H140" s="544">
        <f t="shared" si="30"/>
        <v>100.08742532420226</v>
      </c>
      <c r="J140" s="50"/>
    </row>
    <row r="141" spans="2:12" x14ac:dyDescent="0.2">
      <c r="B141" s="412"/>
      <c r="C141" s="426" t="s">
        <v>258</v>
      </c>
      <c r="D141" s="414">
        <v>68630</v>
      </c>
      <c r="E141" s="414">
        <v>68630</v>
      </c>
      <c r="F141" s="414">
        <v>38511</v>
      </c>
      <c r="G141" s="415">
        <v>68690</v>
      </c>
      <c r="H141" s="543">
        <f t="shared" si="30"/>
        <v>100.08742532420226</v>
      </c>
      <c r="J141" s="50"/>
    </row>
    <row r="142" spans="2:12" s="309" customFormat="1" ht="25.5" customHeight="1" x14ac:dyDescent="0.2">
      <c r="B142" s="404">
        <v>722556</v>
      </c>
      <c r="C142" s="429" t="s">
        <v>280</v>
      </c>
      <c r="D142" s="406">
        <f t="shared" ref="D142:F142" si="31">SUM(D143:D144)</f>
        <v>342490</v>
      </c>
      <c r="E142" s="406">
        <f t="shared" si="31"/>
        <v>342490</v>
      </c>
      <c r="F142" s="406">
        <f t="shared" si="31"/>
        <v>66642</v>
      </c>
      <c r="G142" s="407">
        <f t="shared" ref="G142" si="32">SUM(G143:G144)</f>
        <v>342624</v>
      </c>
      <c r="H142" s="544">
        <f t="shared" si="30"/>
        <v>100.03912522993372</v>
      </c>
      <c r="J142" s="50"/>
    </row>
    <row r="143" spans="2:12" s="309" customFormat="1" ht="15" customHeight="1" x14ac:dyDescent="0.2">
      <c r="B143" s="412"/>
      <c r="C143" s="426" t="s">
        <v>257</v>
      </c>
      <c r="D143" s="414">
        <v>209230</v>
      </c>
      <c r="E143" s="414">
        <v>209230</v>
      </c>
      <c r="F143" s="414">
        <v>0</v>
      </c>
      <c r="G143" s="415">
        <f>188494+20000</f>
        <v>208494</v>
      </c>
      <c r="H143" s="544">
        <f t="shared" si="30"/>
        <v>99.648234000860299</v>
      </c>
      <c r="J143" s="50"/>
    </row>
    <row r="144" spans="2:12" ht="15" customHeight="1" x14ac:dyDescent="0.2">
      <c r="B144" s="412"/>
      <c r="C144" s="426" t="s">
        <v>258</v>
      </c>
      <c r="D144" s="414">
        <v>133260</v>
      </c>
      <c r="E144" s="414">
        <v>133260</v>
      </c>
      <c r="F144" s="414">
        <v>66642</v>
      </c>
      <c r="G144" s="415">
        <v>134130</v>
      </c>
      <c r="H144" s="543">
        <f t="shared" si="30"/>
        <v>100.65285907248986</v>
      </c>
      <c r="I144" s="244"/>
      <c r="J144" s="50"/>
      <c r="K144" s="50"/>
    </row>
    <row r="145" spans="2:10" x14ac:dyDescent="0.2">
      <c r="B145" s="422">
        <v>722580</v>
      </c>
      <c r="C145" s="430" t="s">
        <v>281</v>
      </c>
      <c r="D145" s="424">
        <f>D146+D149+D150+D151+D152+D153</f>
        <v>202640</v>
      </c>
      <c r="E145" s="424">
        <f>E146+E149+E150+E151+E152+E153</f>
        <v>202640</v>
      </c>
      <c r="F145" s="424">
        <f>F146+F149+F150+F151+F152+F153</f>
        <v>55175</v>
      </c>
      <c r="G145" s="425">
        <f>G146+G149+G150+G151+G152+G153</f>
        <v>106810</v>
      </c>
      <c r="H145" s="542">
        <f t="shared" si="30"/>
        <v>52.709238057639162</v>
      </c>
      <c r="J145" s="50"/>
    </row>
    <row r="146" spans="2:10" s="309" customFormat="1" ht="27" customHeight="1" x14ac:dyDescent="0.2">
      <c r="B146" s="404">
        <v>722581</v>
      </c>
      <c r="C146" s="429" t="s">
        <v>282</v>
      </c>
      <c r="D146" s="406">
        <f t="shared" ref="D146" si="33">SUM(D147:D148)</f>
        <v>193910</v>
      </c>
      <c r="E146" s="406">
        <f t="shared" ref="E146" si="34">SUM(E147:E148)</f>
        <v>193910</v>
      </c>
      <c r="F146" s="406">
        <f t="shared" ref="F146:G146" si="35">SUM(F147:F148)</f>
        <v>48338</v>
      </c>
      <c r="G146" s="407">
        <f t="shared" si="35"/>
        <v>94500</v>
      </c>
      <c r="H146" s="544">
        <f t="shared" si="30"/>
        <v>48.73394873910577</v>
      </c>
      <c r="J146" s="50"/>
    </row>
    <row r="147" spans="2:10" s="309" customFormat="1" ht="15" customHeight="1" x14ac:dyDescent="0.2">
      <c r="B147" s="412"/>
      <c r="C147" s="426" t="s">
        <v>283</v>
      </c>
      <c r="D147" s="414">
        <v>92000</v>
      </c>
      <c r="E147" s="414">
        <v>92000</v>
      </c>
      <c r="F147" s="414">
        <v>0</v>
      </c>
      <c r="G147" s="415">
        <v>0</v>
      </c>
      <c r="H147" s="544">
        <f t="shared" si="30"/>
        <v>0</v>
      </c>
      <c r="J147" s="50"/>
    </row>
    <row r="148" spans="2:10" ht="17.25" customHeight="1" x14ac:dyDescent="0.2">
      <c r="B148" s="412"/>
      <c r="C148" s="426" t="s">
        <v>284</v>
      </c>
      <c r="D148" s="414">
        <v>101910</v>
      </c>
      <c r="E148" s="414">
        <v>101910</v>
      </c>
      <c r="F148" s="414">
        <v>48338</v>
      </c>
      <c r="G148" s="415">
        <f>103540-9040</f>
        <v>94500</v>
      </c>
      <c r="H148" s="543">
        <f t="shared" si="30"/>
        <v>92.728878422137186</v>
      </c>
      <c r="J148" s="50"/>
    </row>
    <row r="149" spans="2:10" ht="27" customHeight="1" x14ac:dyDescent="0.2">
      <c r="B149" s="404">
        <v>722582</v>
      </c>
      <c r="C149" s="429" t="s">
        <v>285</v>
      </c>
      <c r="D149" s="406">
        <v>5090</v>
      </c>
      <c r="E149" s="406">
        <v>5090</v>
      </c>
      <c r="F149" s="406">
        <v>2541</v>
      </c>
      <c r="G149" s="407">
        <v>4490</v>
      </c>
      <c r="H149" s="543">
        <f t="shared" si="30"/>
        <v>88.212180746561884</v>
      </c>
      <c r="J149" s="50"/>
    </row>
    <row r="150" spans="2:10" s="309" customFormat="1" ht="15.75" customHeight="1" x14ac:dyDescent="0.2">
      <c r="B150" s="404">
        <v>722583</v>
      </c>
      <c r="C150" s="429" t="s">
        <v>286</v>
      </c>
      <c r="D150" s="406">
        <v>10</v>
      </c>
      <c r="E150" s="406">
        <v>10</v>
      </c>
      <c r="F150" s="406">
        <v>76</v>
      </c>
      <c r="G150" s="407">
        <v>80</v>
      </c>
      <c r="H150" s="544">
        <f t="shared" si="30"/>
        <v>800</v>
      </c>
      <c r="J150" s="50"/>
    </row>
    <row r="151" spans="2:10" s="309" customFormat="1" ht="15" customHeight="1" x14ac:dyDescent="0.2">
      <c r="B151" s="404">
        <v>722584</v>
      </c>
      <c r="C151" s="429" t="s">
        <v>287</v>
      </c>
      <c r="D151" s="406">
        <v>100</v>
      </c>
      <c r="E151" s="406">
        <v>100</v>
      </c>
      <c r="F151" s="406">
        <v>101</v>
      </c>
      <c r="G151" s="407">
        <v>180</v>
      </c>
      <c r="H151" s="544">
        <f t="shared" si="30"/>
        <v>180</v>
      </c>
      <c r="J151" s="50"/>
    </row>
    <row r="152" spans="2:10" ht="28.5" customHeight="1" x14ac:dyDescent="0.2">
      <c r="B152" s="404">
        <v>722585</v>
      </c>
      <c r="C152" s="429" t="s">
        <v>288</v>
      </c>
      <c r="D152" s="406">
        <v>3060</v>
      </c>
      <c r="E152" s="406">
        <v>3060</v>
      </c>
      <c r="F152" s="406">
        <v>3459</v>
      </c>
      <c r="G152" s="407">
        <v>6450</v>
      </c>
      <c r="H152" s="543">
        <f t="shared" si="30"/>
        <v>210.78431372549019</v>
      </c>
      <c r="J152" s="50"/>
    </row>
    <row r="153" spans="2:10" s="309" customFormat="1" ht="27" customHeight="1" x14ac:dyDescent="0.2">
      <c r="B153" s="404">
        <v>722586</v>
      </c>
      <c r="C153" s="429" t="s">
        <v>289</v>
      </c>
      <c r="D153" s="406">
        <v>470</v>
      </c>
      <c r="E153" s="406">
        <v>470</v>
      </c>
      <c r="F153" s="406">
        <v>660</v>
      </c>
      <c r="G153" s="407">
        <v>1110</v>
      </c>
      <c r="H153" s="544">
        <f t="shared" si="30"/>
        <v>236.17021276595747</v>
      </c>
      <c r="J153" s="50"/>
    </row>
    <row r="154" spans="2:10" s="309" customFormat="1" ht="15" customHeight="1" x14ac:dyDescent="0.2">
      <c r="B154" s="400">
        <v>722600</v>
      </c>
      <c r="C154" s="401" t="s">
        <v>290</v>
      </c>
      <c r="D154" s="402">
        <f>D155+D156+D157+D158+D159+D160+D161+D164+D165+D166+D169+D162</f>
        <v>467760</v>
      </c>
      <c r="E154" s="402">
        <f>E155+E156+E157+E158+E159+E160+E161+E164+E165+E166+E169+E162+E163</f>
        <v>467760</v>
      </c>
      <c r="F154" s="402">
        <f>F155+F156+F157+F158+F159+F160+F161+F164+F165+F166+F169+F162+F163</f>
        <v>235412</v>
      </c>
      <c r="G154" s="403">
        <f>G155+G156+G157+G158+G159+G160+G161+G164+G165+G166+G169+G162+G163</f>
        <v>518870</v>
      </c>
      <c r="H154" s="558">
        <f t="shared" si="30"/>
        <v>110.92654352659483</v>
      </c>
      <c r="J154" s="50"/>
    </row>
    <row r="155" spans="2:10" x14ac:dyDescent="0.2">
      <c r="B155" s="404">
        <v>722611</v>
      </c>
      <c r="C155" s="420" t="s">
        <v>291</v>
      </c>
      <c r="D155" s="406">
        <v>110330</v>
      </c>
      <c r="E155" s="406">
        <v>110330</v>
      </c>
      <c r="F155" s="406">
        <v>48913</v>
      </c>
      <c r="G155" s="407">
        <v>108830</v>
      </c>
      <c r="H155" s="543">
        <f t="shared" si="30"/>
        <v>98.640442309435329</v>
      </c>
      <c r="J155" s="50"/>
    </row>
    <row r="156" spans="2:10" s="309" customFormat="1" ht="15" customHeight="1" x14ac:dyDescent="0.2">
      <c r="B156" s="404">
        <v>722612</v>
      </c>
      <c r="C156" s="420" t="s">
        <v>292</v>
      </c>
      <c r="D156" s="406">
        <v>46880</v>
      </c>
      <c r="E156" s="406">
        <v>46880</v>
      </c>
      <c r="F156" s="406">
        <v>25420</v>
      </c>
      <c r="G156" s="407">
        <v>72460</v>
      </c>
      <c r="H156" s="544">
        <f t="shared" si="30"/>
        <v>154.56484641638227</v>
      </c>
      <c r="J156" s="50"/>
    </row>
    <row r="157" spans="2:10" s="309" customFormat="1" ht="15" customHeight="1" x14ac:dyDescent="0.2">
      <c r="B157" s="404">
        <v>722613</v>
      </c>
      <c r="C157" s="420" t="s">
        <v>293</v>
      </c>
      <c r="D157" s="406">
        <v>15740</v>
      </c>
      <c r="E157" s="406">
        <v>15740</v>
      </c>
      <c r="F157" s="406">
        <v>9059</v>
      </c>
      <c r="G157" s="407">
        <v>16150</v>
      </c>
      <c r="H157" s="544">
        <f t="shared" si="30"/>
        <v>102.60482846251588</v>
      </c>
      <c r="J157" s="50"/>
    </row>
    <row r="158" spans="2:10" x14ac:dyDescent="0.2">
      <c r="B158" s="404">
        <v>722621</v>
      </c>
      <c r="C158" s="420" t="s">
        <v>294</v>
      </c>
      <c r="D158" s="406">
        <v>166980</v>
      </c>
      <c r="E158" s="406">
        <v>166980</v>
      </c>
      <c r="F158" s="406">
        <v>90007</v>
      </c>
      <c r="G158" s="407">
        <v>198660</v>
      </c>
      <c r="H158" s="543">
        <f t="shared" si="30"/>
        <v>118.97233201581028</v>
      </c>
      <c r="J158" s="50"/>
    </row>
    <row r="159" spans="2:10" ht="15" customHeight="1" x14ac:dyDescent="0.2">
      <c r="B159" s="404">
        <v>722631</v>
      </c>
      <c r="C159" s="420" t="s">
        <v>295</v>
      </c>
      <c r="D159" s="406">
        <v>47190</v>
      </c>
      <c r="E159" s="406">
        <v>47190</v>
      </c>
      <c r="F159" s="406">
        <v>5646</v>
      </c>
      <c r="G159" s="407">
        <v>6780</v>
      </c>
      <c r="H159" s="543">
        <f t="shared" si="30"/>
        <v>14.367450731087095</v>
      </c>
      <c r="I159" s="244"/>
      <c r="J159" s="50"/>
    </row>
    <row r="160" spans="2:10" ht="15" customHeight="1" x14ac:dyDescent="0.2">
      <c r="B160" s="404">
        <v>722632</v>
      </c>
      <c r="C160" s="420" t="s">
        <v>296</v>
      </c>
      <c r="D160" s="406">
        <v>0</v>
      </c>
      <c r="E160" s="406">
        <v>0</v>
      </c>
      <c r="F160" s="406">
        <v>0</v>
      </c>
      <c r="G160" s="407">
        <v>0</v>
      </c>
      <c r="H160" s="543" t="str">
        <f t="shared" si="30"/>
        <v/>
      </c>
      <c r="J160" s="50"/>
    </row>
    <row r="161" spans="2:10" ht="15" customHeight="1" x14ac:dyDescent="0.2">
      <c r="B161" s="404">
        <v>722633</v>
      </c>
      <c r="C161" s="420" t="s">
        <v>297</v>
      </c>
      <c r="D161" s="406">
        <v>0</v>
      </c>
      <c r="E161" s="406">
        <v>0</v>
      </c>
      <c r="F161" s="406">
        <v>0</v>
      </c>
      <c r="G161" s="407">
        <v>0</v>
      </c>
      <c r="H161" s="543" t="str">
        <f t="shared" si="30"/>
        <v/>
      </c>
      <c r="J161" s="50"/>
    </row>
    <row r="162" spans="2:10" ht="15" customHeight="1" x14ac:dyDescent="0.2">
      <c r="B162" s="404">
        <v>722645</v>
      </c>
      <c r="C162" s="429" t="s">
        <v>298</v>
      </c>
      <c r="D162" s="406">
        <v>0</v>
      </c>
      <c r="E162" s="406">
        <v>0</v>
      </c>
      <c r="F162" s="406">
        <v>25</v>
      </c>
      <c r="G162" s="407">
        <v>30</v>
      </c>
      <c r="H162" s="543" t="str">
        <f t="shared" si="30"/>
        <v/>
      </c>
      <c r="J162" s="50"/>
    </row>
    <row r="163" spans="2:10" ht="15" customHeight="1" x14ac:dyDescent="0.2">
      <c r="B163" s="404">
        <v>722651</v>
      </c>
      <c r="C163" s="429" t="s">
        <v>299</v>
      </c>
      <c r="D163" s="406">
        <v>0</v>
      </c>
      <c r="E163" s="406">
        <v>0</v>
      </c>
      <c r="F163" s="406">
        <v>0</v>
      </c>
      <c r="G163" s="407">
        <v>620</v>
      </c>
      <c r="H163" s="543" t="str">
        <f t="shared" ref="H163" si="36">IF(E163=0,"",G163/E163*100)</f>
        <v/>
      </c>
      <c r="J163" s="50"/>
    </row>
    <row r="164" spans="2:10" ht="15" customHeight="1" x14ac:dyDescent="0.2">
      <c r="B164" s="404">
        <v>722654</v>
      </c>
      <c r="C164" s="429" t="s">
        <v>300</v>
      </c>
      <c r="D164" s="406">
        <v>0</v>
      </c>
      <c r="E164" s="406">
        <v>0</v>
      </c>
      <c r="F164" s="406">
        <v>433</v>
      </c>
      <c r="G164" s="407">
        <v>840</v>
      </c>
      <c r="H164" s="543" t="str">
        <f t="shared" si="30"/>
        <v/>
      </c>
      <c r="J164" s="50"/>
    </row>
    <row r="165" spans="2:10" ht="15" customHeight="1" x14ac:dyDescent="0.2">
      <c r="B165" s="404">
        <v>722655</v>
      </c>
      <c r="C165" s="429" t="s">
        <v>301</v>
      </c>
      <c r="D165" s="406">
        <v>0</v>
      </c>
      <c r="E165" s="406">
        <v>0</v>
      </c>
      <c r="F165" s="406">
        <v>2600</v>
      </c>
      <c r="G165" s="407">
        <v>3120</v>
      </c>
      <c r="H165" s="543" t="str">
        <f t="shared" si="30"/>
        <v/>
      </c>
      <c r="J165" s="50"/>
    </row>
    <row r="166" spans="2:10" ht="30.75" customHeight="1" x14ac:dyDescent="0.2">
      <c r="B166" s="404">
        <v>722656</v>
      </c>
      <c r="C166" s="429" t="s">
        <v>302</v>
      </c>
      <c r="D166" s="406">
        <f>D167+D168</f>
        <v>80640</v>
      </c>
      <c r="E166" s="406">
        <f>E167+E168</f>
        <v>80640</v>
      </c>
      <c r="F166" s="406">
        <f t="shared" ref="F166:G166" si="37">F167+F168</f>
        <v>0</v>
      </c>
      <c r="G166" s="407">
        <f t="shared" si="37"/>
        <v>320</v>
      </c>
      <c r="H166" s="543">
        <f t="shared" si="30"/>
        <v>0.3968253968253968</v>
      </c>
      <c r="J166" s="50"/>
    </row>
    <row r="167" spans="2:10" ht="15" customHeight="1" x14ac:dyDescent="0.2">
      <c r="B167" s="404"/>
      <c r="C167" s="381" t="s">
        <v>303</v>
      </c>
      <c r="D167" s="406">
        <v>30240</v>
      </c>
      <c r="E167" s="406">
        <v>30240</v>
      </c>
      <c r="F167" s="406">
        <v>0</v>
      </c>
      <c r="G167" s="407">
        <v>0</v>
      </c>
      <c r="H167" s="543">
        <f t="shared" si="30"/>
        <v>0</v>
      </c>
      <c r="J167" s="50"/>
    </row>
    <row r="168" spans="2:10" ht="15" customHeight="1" x14ac:dyDescent="0.2">
      <c r="B168" s="404"/>
      <c r="C168" s="381" t="s">
        <v>304</v>
      </c>
      <c r="D168" s="406">
        <v>50400</v>
      </c>
      <c r="E168" s="406">
        <v>50400</v>
      </c>
      <c r="F168" s="406">
        <v>0</v>
      </c>
      <c r="G168" s="407">
        <v>320</v>
      </c>
      <c r="H168" s="543">
        <f t="shared" si="30"/>
        <v>0.63492063492063489</v>
      </c>
      <c r="I168" s="244"/>
      <c r="J168" s="50"/>
    </row>
    <row r="169" spans="2:10" ht="15" customHeight="1" x14ac:dyDescent="0.2">
      <c r="B169" s="404">
        <v>722659</v>
      </c>
      <c r="C169" s="429" t="s">
        <v>305</v>
      </c>
      <c r="D169" s="406">
        <v>0</v>
      </c>
      <c r="E169" s="406">
        <v>0</v>
      </c>
      <c r="F169" s="406">
        <v>53309</v>
      </c>
      <c r="G169" s="407">
        <v>111060</v>
      </c>
      <c r="H169" s="543" t="str">
        <f t="shared" si="30"/>
        <v/>
      </c>
      <c r="J169" s="50"/>
    </row>
    <row r="170" spans="2:10" ht="15" customHeight="1" x14ac:dyDescent="0.2">
      <c r="B170" s="422">
        <v>722700</v>
      </c>
      <c r="C170" s="401" t="s">
        <v>306</v>
      </c>
      <c r="D170" s="402">
        <f>SUM(D171:D176)</f>
        <v>65950</v>
      </c>
      <c r="E170" s="402">
        <f t="shared" ref="E170" si="38">SUM(E171:E176)</f>
        <v>65950</v>
      </c>
      <c r="F170" s="402">
        <f t="shared" ref="F170" si="39">SUM(F171:F176)</f>
        <v>35998</v>
      </c>
      <c r="G170" s="403">
        <f t="shared" ref="G170" si="40">SUM(G171:G176)</f>
        <v>45210</v>
      </c>
      <c r="H170" s="542">
        <f t="shared" si="30"/>
        <v>68.551933282789989</v>
      </c>
      <c r="J170" s="50"/>
    </row>
    <row r="171" spans="2:10" ht="15" customHeight="1" x14ac:dyDescent="0.2">
      <c r="B171" s="404">
        <v>722711</v>
      </c>
      <c r="C171" s="420" t="s">
        <v>307</v>
      </c>
      <c r="D171" s="406">
        <v>0</v>
      </c>
      <c r="E171" s="406">
        <v>0</v>
      </c>
      <c r="F171" s="406">
        <v>1720</v>
      </c>
      <c r="G171" s="407">
        <v>2060</v>
      </c>
      <c r="H171" s="543" t="str">
        <f t="shared" si="30"/>
        <v/>
      </c>
      <c r="J171" s="50"/>
    </row>
    <row r="172" spans="2:10" ht="15" customHeight="1" x14ac:dyDescent="0.2">
      <c r="B172" s="404">
        <v>722715</v>
      </c>
      <c r="C172" s="420" t="s">
        <v>308</v>
      </c>
      <c r="D172" s="406">
        <v>0</v>
      </c>
      <c r="E172" s="406">
        <v>0</v>
      </c>
      <c r="F172" s="406">
        <v>0</v>
      </c>
      <c r="G172" s="407">
        <v>0</v>
      </c>
      <c r="H172" s="543" t="str">
        <f t="shared" si="30"/>
        <v/>
      </c>
      <c r="J172" s="50"/>
    </row>
    <row r="173" spans="2:10" ht="15" customHeight="1" x14ac:dyDescent="0.2">
      <c r="B173" s="404">
        <v>722719</v>
      </c>
      <c r="C173" s="420" t="s">
        <v>309</v>
      </c>
      <c r="D173" s="406">
        <v>54150</v>
      </c>
      <c r="E173" s="406">
        <v>54150</v>
      </c>
      <c r="F173" s="406">
        <v>26366</v>
      </c>
      <c r="G173" s="407">
        <v>31650</v>
      </c>
      <c r="H173" s="543">
        <f t="shared" si="30"/>
        <v>58.448753462603875</v>
      </c>
      <c r="J173" s="50"/>
    </row>
    <row r="174" spans="2:10" ht="17.100000000000001" customHeight="1" x14ac:dyDescent="0.2">
      <c r="B174" s="404">
        <v>722732</v>
      </c>
      <c r="C174" s="420" t="s">
        <v>310</v>
      </c>
      <c r="D174" s="406">
        <v>0</v>
      </c>
      <c r="E174" s="406">
        <v>0</v>
      </c>
      <c r="F174" s="406">
        <v>0</v>
      </c>
      <c r="G174" s="407">
        <v>0</v>
      </c>
      <c r="H174" s="542" t="str">
        <f t="shared" si="30"/>
        <v/>
      </c>
      <c r="I174" s="244"/>
      <c r="J174" s="50"/>
    </row>
    <row r="175" spans="2:10" ht="15" customHeight="1" x14ac:dyDescent="0.2">
      <c r="B175" s="404">
        <v>722741</v>
      </c>
      <c r="C175" s="420" t="s">
        <v>311</v>
      </c>
      <c r="D175" s="406">
        <v>0</v>
      </c>
      <c r="E175" s="406">
        <v>0</v>
      </c>
      <c r="F175" s="406">
        <v>0</v>
      </c>
      <c r="G175" s="407">
        <v>0</v>
      </c>
      <c r="H175" s="543" t="str">
        <f t="shared" si="30"/>
        <v/>
      </c>
      <c r="J175" s="50"/>
    </row>
    <row r="176" spans="2:10" ht="15" customHeight="1" x14ac:dyDescent="0.2">
      <c r="B176" s="404">
        <v>722791</v>
      </c>
      <c r="C176" s="420" t="s">
        <v>312</v>
      </c>
      <c r="D176" s="406">
        <v>11800</v>
      </c>
      <c r="E176" s="406">
        <v>11800</v>
      </c>
      <c r="F176" s="406">
        <v>7912</v>
      </c>
      <c r="G176" s="407">
        <v>11500</v>
      </c>
      <c r="H176" s="543">
        <f t="shared" si="30"/>
        <v>97.457627118644069</v>
      </c>
      <c r="J176" s="50"/>
    </row>
    <row r="177" spans="2:10" ht="15" customHeight="1" x14ac:dyDescent="0.2">
      <c r="B177" s="393">
        <v>723000</v>
      </c>
      <c r="C177" s="397" t="s">
        <v>313</v>
      </c>
      <c r="D177" s="398">
        <f>D178</f>
        <v>1031850</v>
      </c>
      <c r="E177" s="398">
        <f>E178</f>
        <v>1031850</v>
      </c>
      <c r="F177" s="398">
        <f t="shared" ref="F177:G177" si="41">F178</f>
        <v>392964</v>
      </c>
      <c r="G177" s="399">
        <f t="shared" si="41"/>
        <v>960510</v>
      </c>
      <c r="H177" s="567">
        <f t="shared" si="30"/>
        <v>93.086204390172995</v>
      </c>
      <c r="J177" s="50"/>
    </row>
    <row r="178" spans="2:10" ht="15" customHeight="1" x14ac:dyDescent="0.2">
      <c r="B178" s="400">
        <v>723100</v>
      </c>
      <c r="C178" s="428" t="s">
        <v>314</v>
      </c>
      <c r="D178" s="424">
        <f>D179+D180+D182+D183+D184</f>
        <v>1031850</v>
      </c>
      <c r="E178" s="424">
        <f>E179+E180+E182+E183+E184</f>
        <v>1031850</v>
      </c>
      <c r="F178" s="424">
        <f t="shared" ref="F178:G178" si="42">F179+F180+F182+F183+F184</f>
        <v>392964</v>
      </c>
      <c r="G178" s="425">
        <f t="shared" si="42"/>
        <v>960510</v>
      </c>
      <c r="H178" s="558">
        <f t="shared" si="30"/>
        <v>93.086204390172995</v>
      </c>
      <c r="J178" s="50"/>
    </row>
    <row r="179" spans="2:10" x14ac:dyDescent="0.2">
      <c r="B179" s="404">
        <v>723121</v>
      </c>
      <c r="C179" s="420" t="s">
        <v>315</v>
      </c>
      <c r="D179" s="406">
        <v>500</v>
      </c>
      <c r="E179" s="406">
        <v>500</v>
      </c>
      <c r="F179" s="406">
        <v>170</v>
      </c>
      <c r="G179" s="407">
        <v>300</v>
      </c>
      <c r="H179" s="543">
        <f t="shared" si="30"/>
        <v>60</v>
      </c>
      <c r="J179" s="50"/>
    </row>
    <row r="180" spans="2:10" ht="15" customHeight="1" x14ac:dyDescent="0.2">
      <c r="B180" s="404">
        <v>723122</v>
      </c>
      <c r="C180" s="420" t="s">
        <v>316</v>
      </c>
      <c r="D180" s="406">
        <v>50</v>
      </c>
      <c r="E180" s="406">
        <v>50</v>
      </c>
      <c r="F180" s="406">
        <v>0</v>
      </c>
      <c r="G180" s="407">
        <v>0</v>
      </c>
      <c r="H180" s="545">
        <f t="shared" si="30"/>
        <v>0</v>
      </c>
      <c r="J180" s="50"/>
    </row>
    <row r="181" spans="2:10" ht="17.25" customHeight="1" x14ac:dyDescent="0.2">
      <c r="B181" s="404"/>
      <c r="C181" s="381" t="s">
        <v>317</v>
      </c>
      <c r="D181" s="414">
        <v>0</v>
      </c>
      <c r="E181" s="414">
        <v>0</v>
      </c>
      <c r="F181" s="414">
        <v>0</v>
      </c>
      <c r="G181" s="415">
        <v>0</v>
      </c>
      <c r="H181" s="545" t="str">
        <f t="shared" si="30"/>
        <v/>
      </c>
      <c r="J181" s="50"/>
    </row>
    <row r="182" spans="2:10" ht="25.5" x14ac:dyDescent="0.2">
      <c r="B182" s="404">
        <v>723123</v>
      </c>
      <c r="C182" s="429" t="s">
        <v>318</v>
      </c>
      <c r="D182" s="406">
        <v>1025180</v>
      </c>
      <c r="E182" s="406">
        <v>1025180</v>
      </c>
      <c r="F182" s="406">
        <v>385594</v>
      </c>
      <c r="G182" s="407">
        <v>949500</v>
      </c>
      <c r="H182" s="543">
        <f t="shared" si="30"/>
        <v>92.617881737841159</v>
      </c>
      <c r="J182" s="50"/>
    </row>
    <row r="183" spans="2:10" ht="17.100000000000001" customHeight="1" x14ac:dyDescent="0.2">
      <c r="B183" s="416">
        <v>723129</v>
      </c>
      <c r="C183" s="432" t="s">
        <v>319</v>
      </c>
      <c r="D183" s="418">
        <v>6120</v>
      </c>
      <c r="E183" s="418">
        <v>6120</v>
      </c>
      <c r="F183" s="418">
        <v>6000</v>
      </c>
      <c r="G183" s="419">
        <v>8350</v>
      </c>
      <c r="H183" s="559">
        <f t="shared" si="30"/>
        <v>136.43790849673204</v>
      </c>
      <c r="J183" s="50"/>
    </row>
    <row r="184" spans="2:10" ht="25.5" x14ac:dyDescent="0.2">
      <c r="B184" s="416">
        <v>723142</v>
      </c>
      <c r="C184" s="431" t="s">
        <v>320</v>
      </c>
      <c r="D184" s="418">
        <v>0</v>
      </c>
      <c r="E184" s="418">
        <v>0</v>
      </c>
      <c r="F184" s="418">
        <v>1200</v>
      </c>
      <c r="G184" s="419">
        <v>2360</v>
      </c>
      <c r="H184" s="543" t="str">
        <f t="shared" si="30"/>
        <v/>
      </c>
      <c r="J184" s="50"/>
    </row>
    <row r="185" spans="2:10" ht="17.100000000000001" customHeight="1" x14ac:dyDescent="0.2">
      <c r="B185" s="404"/>
      <c r="C185" s="429"/>
      <c r="D185" s="406"/>
      <c r="E185" s="406"/>
      <c r="F185" s="406"/>
      <c r="G185" s="407"/>
      <c r="H185" s="546" t="str">
        <f t="shared" si="30"/>
        <v/>
      </c>
      <c r="J185" s="50"/>
    </row>
    <row r="186" spans="2:10" ht="15" x14ac:dyDescent="0.2">
      <c r="B186" s="616" t="s">
        <v>321</v>
      </c>
      <c r="C186" s="617"/>
      <c r="D186" s="433">
        <f>D5+D62</f>
        <v>57015790</v>
      </c>
      <c r="E186" s="433">
        <f>E5+E62</f>
        <v>57015790</v>
      </c>
      <c r="F186" s="433">
        <f>F5+F62</f>
        <v>28476399</v>
      </c>
      <c r="G186" s="434">
        <f>G5+G62</f>
        <v>60859296</v>
      </c>
      <c r="H186" s="542">
        <f t="shared" si="30"/>
        <v>106.74112557240723</v>
      </c>
      <c r="J186" s="50"/>
    </row>
    <row r="187" spans="2:10" ht="15" customHeight="1" x14ac:dyDescent="0.2">
      <c r="B187" s="435"/>
      <c r="C187" s="436"/>
      <c r="D187" s="437"/>
      <c r="E187" s="437"/>
      <c r="F187" s="437"/>
      <c r="G187" s="438"/>
      <c r="H187" s="542" t="str">
        <f t="shared" si="30"/>
        <v/>
      </c>
      <c r="J187" s="50"/>
    </row>
    <row r="188" spans="2:10" ht="15" customHeight="1" x14ac:dyDescent="0.2">
      <c r="B188" s="393">
        <v>730000</v>
      </c>
      <c r="C188" s="397" t="s">
        <v>322</v>
      </c>
      <c r="D188" s="395">
        <f>D189+D195+D215</f>
        <v>9832961</v>
      </c>
      <c r="E188" s="395">
        <f>E189+E195+E215</f>
        <v>10201675</v>
      </c>
      <c r="F188" s="395">
        <f>F189+F195+F215</f>
        <v>692424</v>
      </c>
      <c r="G188" s="396">
        <f>G189+G195+G215</f>
        <v>7892901</v>
      </c>
      <c r="H188" s="540">
        <f t="shared" si="30"/>
        <v>77.368677202518214</v>
      </c>
      <c r="J188" s="50"/>
    </row>
    <row r="189" spans="2:10" ht="23.25" customHeight="1" x14ac:dyDescent="0.2">
      <c r="B189" s="393">
        <v>731000</v>
      </c>
      <c r="C189" s="397" t="s">
        <v>323</v>
      </c>
      <c r="D189" s="398">
        <f>D190</f>
        <v>0</v>
      </c>
      <c r="E189" s="398">
        <f>E190</f>
        <v>0</v>
      </c>
      <c r="F189" s="398">
        <f>F190</f>
        <v>0</v>
      </c>
      <c r="G189" s="399">
        <f>G190</f>
        <v>0</v>
      </c>
      <c r="H189" s="541" t="str">
        <f t="shared" si="30"/>
        <v/>
      </c>
      <c r="J189" s="50"/>
    </row>
    <row r="190" spans="2:10" s="309" customFormat="1" ht="15" customHeight="1" x14ac:dyDescent="0.2">
      <c r="B190" s="422">
        <v>731100</v>
      </c>
      <c r="C190" s="423" t="s">
        <v>324</v>
      </c>
      <c r="D190" s="424">
        <f>D191+D192</f>
        <v>0</v>
      </c>
      <c r="E190" s="424">
        <f>E191+E192</f>
        <v>0</v>
      </c>
      <c r="F190" s="424">
        <f>F191+F192</f>
        <v>0</v>
      </c>
      <c r="G190" s="425">
        <f>G191+G192</f>
        <v>0</v>
      </c>
      <c r="H190" s="544" t="str">
        <f t="shared" si="30"/>
        <v/>
      </c>
      <c r="J190" s="50"/>
    </row>
    <row r="191" spans="2:10" s="309" customFormat="1" ht="15" customHeight="1" x14ac:dyDescent="0.2">
      <c r="B191" s="404">
        <v>731111</v>
      </c>
      <c r="C191" s="405" t="s">
        <v>325</v>
      </c>
      <c r="D191" s="406">
        <v>0</v>
      </c>
      <c r="E191" s="406">
        <v>0</v>
      </c>
      <c r="F191" s="406">
        <v>0</v>
      </c>
      <c r="G191" s="407">
        <v>0</v>
      </c>
      <c r="H191" s="544" t="str">
        <f t="shared" si="30"/>
        <v/>
      </c>
      <c r="J191" s="50"/>
    </row>
    <row r="192" spans="2:10" ht="17.100000000000001" customHeight="1" x14ac:dyDescent="0.2">
      <c r="B192" s="404">
        <v>731121</v>
      </c>
      <c r="C192" s="405" t="s">
        <v>326</v>
      </c>
      <c r="D192" s="406">
        <f>D193+D194</f>
        <v>0</v>
      </c>
      <c r="E192" s="406">
        <f>E193+E194</f>
        <v>0</v>
      </c>
      <c r="F192" s="406">
        <f t="shared" ref="F192:G192" si="43">F193+F194</f>
        <v>0</v>
      </c>
      <c r="G192" s="407">
        <f t="shared" si="43"/>
        <v>0</v>
      </c>
      <c r="H192" s="542" t="str">
        <f t="shared" si="30"/>
        <v/>
      </c>
      <c r="J192" s="50"/>
    </row>
    <row r="193" spans="2:11" ht="15" customHeight="1" x14ac:dyDescent="0.2">
      <c r="B193" s="412"/>
      <c r="C193" s="426" t="s">
        <v>327</v>
      </c>
      <c r="D193" s="414">
        <v>0</v>
      </c>
      <c r="E193" s="414">
        <v>0</v>
      </c>
      <c r="F193" s="414">
        <v>0</v>
      </c>
      <c r="G193" s="415">
        <v>0</v>
      </c>
      <c r="H193" s="542" t="str">
        <f t="shared" si="30"/>
        <v/>
      </c>
      <c r="J193" s="50"/>
    </row>
    <row r="194" spans="2:11" ht="15" customHeight="1" x14ac:dyDescent="0.2">
      <c r="B194" s="412"/>
      <c r="C194" s="426" t="s">
        <v>328</v>
      </c>
      <c r="D194" s="414">
        <v>0</v>
      </c>
      <c r="E194" s="414">
        <v>0</v>
      </c>
      <c r="F194" s="414">
        <v>0</v>
      </c>
      <c r="G194" s="415">
        <v>0</v>
      </c>
      <c r="H194" s="542" t="str">
        <f t="shared" si="30"/>
        <v/>
      </c>
      <c r="J194" s="50"/>
    </row>
    <row r="195" spans="2:11" ht="15" customHeight="1" x14ac:dyDescent="0.2">
      <c r="B195" s="439">
        <v>732000</v>
      </c>
      <c r="C195" s="397" t="s">
        <v>329</v>
      </c>
      <c r="D195" s="398">
        <f>D196</f>
        <v>9832961</v>
      </c>
      <c r="E195" s="398">
        <f>E196</f>
        <v>10201675</v>
      </c>
      <c r="F195" s="398">
        <f>F196</f>
        <v>692424</v>
      </c>
      <c r="G195" s="399">
        <f>G196</f>
        <v>7892901</v>
      </c>
      <c r="H195" s="541">
        <f t="shared" si="30"/>
        <v>77.368677202518214</v>
      </c>
      <c r="J195" s="50"/>
    </row>
    <row r="196" spans="2:11" ht="15" customHeight="1" x14ac:dyDescent="0.2">
      <c r="B196" s="422">
        <v>732100</v>
      </c>
      <c r="C196" s="423" t="s">
        <v>330</v>
      </c>
      <c r="D196" s="424">
        <f>D197+D212</f>
        <v>9832961</v>
      </c>
      <c r="E196" s="424">
        <f>E197+E212</f>
        <v>10201675</v>
      </c>
      <c r="F196" s="424">
        <f>F197+F212</f>
        <v>692424</v>
      </c>
      <c r="G196" s="425">
        <f>G197+G212</f>
        <v>7892901</v>
      </c>
      <c r="H196" s="542">
        <f t="shared" si="30"/>
        <v>77.368677202518214</v>
      </c>
      <c r="J196" s="50"/>
    </row>
    <row r="197" spans="2:11" s="309" customFormat="1" ht="15" customHeight="1" x14ac:dyDescent="0.2">
      <c r="B197" s="400">
        <v>732110</v>
      </c>
      <c r="C197" s="408" t="s">
        <v>331</v>
      </c>
      <c r="D197" s="402">
        <f>D198+D199</f>
        <v>9672055</v>
      </c>
      <c r="E197" s="402">
        <f>E198+E199</f>
        <v>10040769</v>
      </c>
      <c r="F197" s="402">
        <f t="shared" ref="F197:G197" si="44">F198+F199</f>
        <v>623900</v>
      </c>
      <c r="G197" s="403">
        <f t="shared" si="44"/>
        <v>7776329</v>
      </c>
      <c r="H197" s="558">
        <f t="shared" si="30"/>
        <v>77.447544107428428</v>
      </c>
      <c r="J197" s="50"/>
    </row>
    <row r="198" spans="2:11" s="309" customFormat="1" x14ac:dyDescent="0.2">
      <c r="B198" s="404">
        <v>732111</v>
      </c>
      <c r="C198" s="405" t="s">
        <v>332</v>
      </c>
      <c r="D198" s="406">
        <v>0</v>
      </c>
      <c r="E198" s="406">
        <v>0</v>
      </c>
      <c r="F198" s="406">
        <v>0</v>
      </c>
      <c r="G198" s="407">
        <v>0</v>
      </c>
      <c r="H198" s="544" t="str">
        <f t="shared" ref="H198:H269" si="45">IF(E198=0,"",G198/E198*100)</f>
        <v/>
      </c>
      <c r="J198" s="50"/>
    </row>
    <row r="199" spans="2:11" s="309" customFormat="1" x14ac:dyDescent="0.2">
      <c r="B199" s="404">
        <v>732112</v>
      </c>
      <c r="C199" s="405" t="s">
        <v>333</v>
      </c>
      <c r="D199" s="406">
        <f>D200+D201+D202+D203+D204+D205+D206+D209</f>
        <v>9672055</v>
      </c>
      <c r="E199" s="406">
        <f>E200+E201+E202+E203+E204+E205+E206+E209</f>
        <v>10040769</v>
      </c>
      <c r="F199" s="406">
        <f>F200+F201+F202+F203+F204+F205+F206+F209</f>
        <v>623900</v>
      </c>
      <c r="G199" s="407">
        <f>G200+G201+G202+G203+G204+G205+G206+G209</f>
        <v>7776329</v>
      </c>
      <c r="H199" s="544">
        <f t="shared" si="45"/>
        <v>77.447544107428428</v>
      </c>
      <c r="J199" s="50"/>
    </row>
    <row r="200" spans="2:11" s="309" customFormat="1" ht="27" customHeight="1" x14ac:dyDescent="0.2">
      <c r="B200" s="412"/>
      <c r="C200" s="440" t="s">
        <v>952</v>
      </c>
      <c r="D200" s="414">
        <v>4862</v>
      </c>
      <c r="E200" s="414">
        <v>4862</v>
      </c>
      <c r="F200" s="414">
        <v>0</v>
      </c>
      <c r="G200" s="415">
        <v>4862</v>
      </c>
      <c r="H200" s="544">
        <f t="shared" si="45"/>
        <v>100</v>
      </c>
      <c r="J200" s="50"/>
    </row>
    <row r="201" spans="2:11" s="309" customFormat="1" ht="25.5" customHeight="1" x14ac:dyDescent="0.2">
      <c r="B201" s="412"/>
      <c r="C201" s="426" t="s">
        <v>951</v>
      </c>
      <c r="D201" s="414">
        <v>232800</v>
      </c>
      <c r="E201" s="414">
        <v>232800</v>
      </c>
      <c r="F201" s="414">
        <v>111370</v>
      </c>
      <c r="G201" s="415">
        <v>229870</v>
      </c>
      <c r="H201" s="544">
        <f t="shared" si="45"/>
        <v>98.741408934707906</v>
      </c>
      <c r="J201" s="50"/>
    </row>
    <row r="202" spans="2:11" s="309" customFormat="1" ht="29.25" customHeight="1" x14ac:dyDescent="0.2">
      <c r="B202" s="412"/>
      <c r="C202" s="426" t="s">
        <v>953</v>
      </c>
      <c r="D202" s="414">
        <v>190000</v>
      </c>
      <c r="E202" s="414">
        <v>190000</v>
      </c>
      <c r="F202" s="414">
        <v>0</v>
      </c>
      <c r="G202" s="415">
        <v>90000</v>
      </c>
      <c r="H202" s="544">
        <f t="shared" si="45"/>
        <v>47.368421052631575</v>
      </c>
      <c r="J202" s="50"/>
    </row>
    <row r="203" spans="2:11" s="309" customFormat="1" ht="41.25" customHeight="1" x14ac:dyDescent="0.2">
      <c r="B203" s="412"/>
      <c r="C203" s="426" t="s">
        <v>954</v>
      </c>
      <c r="D203" s="414">
        <v>0</v>
      </c>
      <c r="E203" s="414">
        <v>29930</v>
      </c>
      <c r="F203" s="414">
        <v>29930</v>
      </c>
      <c r="G203" s="415">
        <v>26362</v>
      </c>
      <c r="H203" s="544">
        <f t="shared" si="45"/>
        <v>88.078850651520213</v>
      </c>
      <c r="J203" s="50"/>
      <c r="K203" s="548"/>
    </row>
    <row r="204" spans="2:11" s="309" customFormat="1" ht="41.25" customHeight="1" x14ac:dyDescent="0.2">
      <c r="B204" s="412"/>
      <c r="C204" s="426" t="s">
        <v>955</v>
      </c>
      <c r="D204" s="414">
        <v>0</v>
      </c>
      <c r="E204" s="414">
        <v>338784</v>
      </c>
      <c r="F204" s="414">
        <v>338784</v>
      </c>
      <c r="G204" s="415">
        <v>331720</v>
      </c>
      <c r="H204" s="544">
        <f t="shared" si="45"/>
        <v>97.91489562671201</v>
      </c>
      <c r="J204"/>
    </row>
    <row r="205" spans="2:11" s="309" customFormat="1" ht="30.75" customHeight="1" x14ac:dyDescent="0.2">
      <c r="B205" s="412"/>
      <c r="C205" s="426" t="s">
        <v>956</v>
      </c>
      <c r="D205" s="414">
        <v>0</v>
      </c>
      <c r="E205" s="414">
        <v>0</v>
      </c>
      <c r="F205" s="414">
        <v>143816</v>
      </c>
      <c r="G205" s="415">
        <v>143816</v>
      </c>
      <c r="H205" s="544" t="str">
        <f t="shared" si="45"/>
        <v/>
      </c>
      <c r="J205"/>
    </row>
    <row r="206" spans="2:11" ht="15" customHeight="1" x14ac:dyDescent="0.2">
      <c r="B206" s="412"/>
      <c r="C206" s="426" t="s">
        <v>957</v>
      </c>
      <c r="D206" s="414">
        <f>D207+D208</f>
        <v>1642422</v>
      </c>
      <c r="E206" s="414">
        <f>E207+E208</f>
        <v>1642422</v>
      </c>
      <c r="F206" s="414">
        <f t="shared" ref="F206:G206" si="46">F207+F208</f>
        <v>0</v>
      </c>
      <c r="G206" s="415">
        <f t="shared" si="46"/>
        <v>1628319</v>
      </c>
      <c r="H206" s="543">
        <f t="shared" si="45"/>
        <v>99.141329085947461</v>
      </c>
      <c r="J206" s="50"/>
    </row>
    <row r="207" spans="2:11" ht="15" customHeight="1" x14ac:dyDescent="0.2">
      <c r="B207" s="412"/>
      <c r="C207" s="426" t="s">
        <v>334</v>
      </c>
      <c r="D207" s="414">
        <v>0</v>
      </c>
      <c r="E207" s="414">
        <v>0</v>
      </c>
      <c r="F207" s="414">
        <v>0</v>
      </c>
      <c r="G207" s="415">
        <v>0</v>
      </c>
      <c r="H207" s="543" t="str">
        <f t="shared" si="45"/>
        <v/>
      </c>
      <c r="I207" s="244"/>
    </row>
    <row r="208" spans="2:11" ht="15" customHeight="1" x14ac:dyDescent="0.2">
      <c r="B208" s="412"/>
      <c r="C208" s="426" t="s">
        <v>335</v>
      </c>
      <c r="D208" s="414">
        <v>1642422</v>
      </c>
      <c r="E208" s="414">
        <v>1642422</v>
      </c>
      <c r="F208" s="414">
        <v>0</v>
      </c>
      <c r="G208" s="415">
        <v>1628319</v>
      </c>
      <c r="H208" s="543">
        <f t="shared" si="45"/>
        <v>99.141329085947461</v>
      </c>
      <c r="I208" s="244"/>
    </row>
    <row r="209" spans="2:10" ht="17.100000000000001" customHeight="1" x14ac:dyDescent="0.2">
      <c r="B209" s="412"/>
      <c r="C209" s="426" t="s">
        <v>958</v>
      </c>
      <c r="D209" s="414">
        <f>D210+D211</f>
        <v>7601971</v>
      </c>
      <c r="E209" s="414">
        <f>E210+E211</f>
        <v>7601971</v>
      </c>
      <c r="F209" s="414">
        <f t="shared" ref="F209" si="47">F210+F211</f>
        <v>0</v>
      </c>
      <c r="G209" s="415">
        <v>5321380</v>
      </c>
      <c r="H209" s="543">
        <f t="shared" si="45"/>
        <v>70.000003946344975</v>
      </c>
      <c r="I209" s="578"/>
      <c r="J209" s="50"/>
    </row>
    <row r="210" spans="2:10" ht="15" customHeight="1" x14ac:dyDescent="0.2">
      <c r="B210" s="412"/>
      <c r="C210" s="426" t="s">
        <v>980</v>
      </c>
      <c r="D210" s="414">
        <v>4656502</v>
      </c>
      <c r="E210" s="414">
        <v>4656502</v>
      </c>
      <c r="F210" s="414">
        <v>0</v>
      </c>
      <c r="G210" s="415">
        <v>0</v>
      </c>
      <c r="H210" s="543">
        <f t="shared" si="45"/>
        <v>0</v>
      </c>
      <c r="I210" s="578"/>
      <c r="J210" s="50"/>
    </row>
    <row r="211" spans="2:10" ht="15" customHeight="1" x14ac:dyDescent="0.2">
      <c r="B211" s="412"/>
      <c r="C211" s="426" t="s">
        <v>981</v>
      </c>
      <c r="D211" s="414">
        <v>2945469</v>
      </c>
      <c r="E211" s="414">
        <v>2945469</v>
      </c>
      <c r="F211" s="414">
        <v>0</v>
      </c>
      <c r="G211" s="415">
        <v>0</v>
      </c>
      <c r="H211" s="543">
        <f t="shared" si="45"/>
        <v>0</v>
      </c>
      <c r="I211" s="578"/>
      <c r="J211" s="50"/>
    </row>
    <row r="212" spans="2:10" ht="15" customHeight="1" x14ac:dyDescent="0.2">
      <c r="B212" s="400">
        <v>732130</v>
      </c>
      <c r="C212" s="408" t="s">
        <v>336</v>
      </c>
      <c r="D212" s="402">
        <f>SUM(D213:D214)</f>
        <v>160906</v>
      </c>
      <c r="E212" s="402">
        <f>SUM(E213:E214)</f>
        <v>160906</v>
      </c>
      <c r="F212" s="402">
        <f>SUM(F213:F214)</f>
        <v>68524</v>
      </c>
      <c r="G212" s="403">
        <f>SUM(G213:G214)</f>
        <v>116572</v>
      </c>
      <c r="H212" s="542">
        <f t="shared" si="45"/>
        <v>72.447267348638334</v>
      </c>
      <c r="J212" s="50"/>
    </row>
    <row r="213" spans="2:10" x14ac:dyDescent="0.2">
      <c r="B213" s="404">
        <v>732131</v>
      </c>
      <c r="C213" s="405" t="s">
        <v>337</v>
      </c>
      <c r="D213" s="406">
        <v>120006</v>
      </c>
      <c r="E213" s="406">
        <v>120006</v>
      </c>
      <c r="F213" s="406">
        <f>68524-39200</f>
        <v>29324</v>
      </c>
      <c r="G213" s="407">
        <f>43360+10004+8</f>
        <v>53372</v>
      </c>
      <c r="H213" s="543">
        <f t="shared" si="45"/>
        <v>44.474442944519446</v>
      </c>
      <c r="I213" s="571"/>
    </row>
    <row r="214" spans="2:10" ht="17.100000000000001" customHeight="1" x14ac:dyDescent="0.2">
      <c r="B214" s="404">
        <v>732131</v>
      </c>
      <c r="C214" s="405" t="s">
        <v>338</v>
      </c>
      <c r="D214" s="406">
        <v>40900</v>
      </c>
      <c r="E214" s="406">
        <v>40900</v>
      </c>
      <c r="F214" s="406">
        <v>39200</v>
      </c>
      <c r="G214" s="407">
        <f>39200+3*8000</f>
        <v>63200</v>
      </c>
      <c r="H214" s="559">
        <f t="shared" si="45"/>
        <v>154.52322738386309</v>
      </c>
    </row>
    <row r="215" spans="2:10" ht="15" x14ac:dyDescent="0.2">
      <c r="B215" s="439">
        <v>733000</v>
      </c>
      <c r="C215" s="397" t="s">
        <v>339</v>
      </c>
      <c r="D215" s="398">
        <f>D216</f>
        <v>0</v>
      </c>
      <c r="E215" s="398">
        <f>E216</f>
        <v>0</v>
      </c>
      <c r="F215" s="398">
        <f>F216</f>
        <v>0</v>
      </c>
      <c r="G215" s="399">
        <f>G216</f>
        <v>0</v>
      </c>
      <c r="H215" s="541" t="str">
        <f t="shared" si="45"/>
        <v/>
      </c>
    </row>
    <row r="216" spans="2:10" x14ac:dyDescent="0.2">
      <c r="B216" s="422">
        <v>733100</v>
      </c>
      <c r="C216" s="423" t="s">
        <v>340</v>
      </c>
      <c r="D216" s="424">
        <f>D217+D218</f>
        <v>0</v>
      </c>
      <c r="E216" s="424">
        <f>E217+E218</f>
        <v>0</v>
      </c>
      <c r="F216" s="424">
        <f>F217+F218</f>
        <v>0</v>
      </c>
      <c r="G216" s="425">
        <f>G217+G218</f>
        <v>0</v>
      </c>
      <c r="H216" s="542" t="str">
        <f t="shared" si="45"/>
        <v/>
      </c>
    </row>
    <row r="217" spans="2:10" ht="15" customHeight="1" x14ac:dyDescent="0.2">
      <c r="B217" s="400">
        <v>733110</v>
      </c>
      <c r="C217" s="408" t="s">
        <v>341</v>
      </c>
      <c r="D217" s="402">
        <v>0</v>
      </c>
      <c r="E217" s="402">
        <v>0</v>
      </c>
      <c r="F217" s="402">
        <v>0</v>
      </c>
      <c r="G217" s="403">
        <v>0</v>
      </c>
      <c r="H217" s="543" t="str">
        <f t="shared" si="45"/>
        <v/>
      </c>
    </row>
    <row r="218" spans="2:10" s="309" customFormat="1" ht="17.25" customHeight="1" x14ac:dyDescent="0.2">
      <c r="B218" s="400">
        <v>733120</v>
      </c>
      <c r="C218" s="408" t="s">
        <v>342</v>
      </c>
      <c r="D218" s="402">
        <v>0</v>
      </c>
      <c r="E218" s="402">
        <v>0</v>
      </c>
      <c r="F218" s="402">
        <v>0</v>
      </c>
      <c r="G218" s="403">
        <v>0</v>
      </c>
      <c r="H218" s="544" t="str">
        <f t="shared" si="45"/>
        <v/>
      </c>
      <c r="J218"/>
    </row>
    <row r="219" spans="2:10" s="309" customFormat="1" ht="15" customHeight="1" x14ac:dyDescent="0.2">
      <c r="B219" s="441"/>
      <c r="C219" s="401"/>
      <c r="D219" s="402"/>
      <c r="E219" s="402"/>
      <c r="F219" s="402"/>
      <c r="G219" s="403"/>
      <c r="H219" s="544" t="str">
        <f t="shared" si="45"/>
        <v/>
      </c>
      <c r="J219"/>
    </row>
    <row r="220" spans="2:10" s="309" customFormat="1" ht="27.75" customHeight="1" x14ac:dyDescent="0.2">
      <c r="B220" s="393">
        <v>740000</v>
      </c>
      <c r="C220" s="397" t="s">
        <v>343</v>
      </c>
      <c r="D220" s="395">
        <f>D221+D236</f>
        <v>136909</v>
      </c>
      <c r="E220" s="395">
        <f>E221+E236</f>
        <v>336688</v>
      </c>
      <c r="F220" s="395">
        <f>F221+F236</f>
        <v>281138</v>
      </c>
      <c r="G220" s="396">
        <f>G221+G236</f>
        <v>2869073</v>
      </c>
      <c r="H220" s="569">
        <f t="shared" si="45"/>
        <v>852.14590362590889</v>
      </c>
      <c r="J220"/>
    </row>
    <row r="221" spans="2:10" s="309" customFormat="1" ht="27.75" customHeight="1" x14ac:dyDescent="0.2">
      <c r="B221" s="439">
        <v>741000</v>
      </c>
      <c r="C221" s="397" t="s">
        <v>344</v>
      </c>
      <c r="D221" s="398">
        <f t="shared" ref="D221:G222" si="48">D222</f>
        <v>136909</v>
      </c>
      <c r="E221" s="398">
        <f t="shared" si="48"/>
        <v>146688</v>
      </c>
      <c r="F221" s="398">
        <f t="shared" si="48"/>
        <v>9779</v>
      </c>
      <c r="G221" s="399">
        <f t="shared" si="48"/>
        <v>478196</v>
      </c>
      <c r="H221" s="566">
        <f t="shared" si="45"/>
        <v>325.99530977312389</v>
      </c>
      <c r="J221"/>
    </row>
    <row r="222" spans="2:10" ht="25.5" customHeight="1" x14ac:dyDescent="0.2">
      <c r="B222" s="422">
        <v>741100</v>
      </c>
      <c r="C222" s="427" t="s">
        <v>345</v>
      </c>
      <c r="D222" s="424">
        <f t="shared" si="48"/>
        <v>136909</v>
      </c>
      <c r="E222" s="424">
        <f t="shared" si="48"/>
        <v>146688</v>
      </c>
      <c r="F222" s="424">
        <f t="shared" si="48"/>
        <v>9779</v>
      </c>
      <c r="G222" s="425">
        <f t="shared" si="48"/>
        <v>478196</v>
      </c>
      <c r="H222" s="542">
        <f t="shared" si="45"/>
        <v>325.99530977312389</v>
      </c>
    </row>
    <row r="223" spans="2:10" ht="15" customHeight="1" x14ac:dyDescent="0.2">
      <c r="B223" s="404">
        <v>741111</v>
      </c>
      <c r="C223" s="405" t="s">
        <v>346</v>
      </c>
      <c r="D223" s="406">
        <f>SUM(D224:D235)</f>
        <v>136909</v>
      </c>
      <c r="E223" s="406">
        <f t="shared" ref="E223:G223" si="49">SUM(E224:E235)</f>
        <v>146688</v>
      </c>
      <c r="F223" s="406">
        <f t="shared" si="49"/>
        <v>9779</v>
      </c>
      <c r="G223" s="407">
        <f t="shared" si="49"/>
        <v>478196</v>
      </c>
      <c r="H223" s="543">
        <f t="shared" si="45"/>
        <v>325.99530977312389</v>
      </c>
    </row>
    <row r="224" spans="2:10" ht="30" customHeight="1" x14ac:dyDescent="0.2">
      <c r="B224" s="412"/>
      <c r="C224" s="426" t="s">
        <v>347</v>
      </c>
      <c r="D224" s="414">
        <v>0</v>
      </c>
      <c r="E224" s="414">
        <v>0</v>
      </c>
      <c r="F224" s="414">
        <v>0</v>
      </c>
      <c r="G224" s="415">
        <v>185804</v>
      </c>
      <c r="H224" s="543" t="str">
        <f t="shared" ref="H224" si="50">IF(E224=0,"",G224/E224*100)</f>
        <v/>
      </c>
    </row>
    <row r="225" spans="2:10" ht="39" customHeight="1" x14ac:dyDescent="0.2">
      <c r="B225" s="412"/>
      <c r="C225" s="426" t="s">
        <v>348</v>
      </c>
      <c r="D225" s="414">
        <v>0</v>
      </c>
      <c r="E225" s="414">
        <v>0</v>
      </c>
      <c r="F225" s="414">
        <v>0</v>
      </c>
      <c r="G225" s="415">
        <v>41072</v>
      </c>
      <c r="H225" s="543" t="str">
        <f t="shared" ref="H225" si="51">IF(E225=0,"",G225/E225*100)</f>
        <v/>
      </c>
    </row>
    <row r="226" spans="2:10" ht="43.5" customHeight="1" x14ac:dyDescent="0.2">
      <c r="B226" s="412"/>
      <c r="C226" s="426" t="s">
        <v>349</v>
      </c>
      <c r="D226" s="414">
        <v>0</v>
      </c>
      <c r="E226" s="414">
        <v>0</v>
      </c>
      <c r="F226" s="414">
        <v>0</v>
      </c>
      <c r="G226" s="415">
        <v>0</v>
      </c>
      <c r="H226" s="543" t="str">
        <f t="shared" si="45"/>
        <v/>
      </c>
    </row>
    <row r="227" spans="2:10" s="309" customFormat="1" ht="42" customHeight="1" x14ac:dyDescent="0.2">
      <c r="B227" s="412"/>
      <c r="C227" s="426" t="s">
        <v>959</v>
      </c>
      <c r="D227" s="414">
        <v>136909</v>
      </c>
      <c r="E227" s="414">
        <v>136909</v>
      </c>
      <c r="F227" s="414">
        <v>0</v>
      </c>
      <c r="G227" s="415">
        <v>136909</v>
      </c>
      <c r="H227" s="544">
        <f t="shared" si="45"/>
        <v>100</v>
      </c>
      <c r="J227"/>
    </row>
    <row r="228" spans="2:10" s="309" customFormat="1" ht="33" customHeight="1" x14ac:dyDescent="0.2">
      <c r="B228" s="412"/>
      <c r="C228" s="426" t="s">
        <v>960</v>
      </c>
      <c r="D228" s="414">
        <v>0</v>
      </c>
      <c r="E228" s="414">
        <v>0</v>
      </c>
      <c r="F228" s="414">
        <v>0</v>
      </c>
      <c r="G228" s="415">
        <v>0</v>
      </c>
      <c r="H228" s="544" t="str">
        <f t="shared" si="45"/>
        <v/>
      </c>
      <c r="J228"/>
    </row>
    <row r="229" spans="2:10" s="309" customFormat="1" ht="32.25" customHeight="1" x14ac:dyDescent="0.2">
      <c r="B229" s="412"/>
      <c r="C229" s="383" t="s">
        <v>961</v>
      </c>
      <c r="D229" s="414">
        <v>0</v>
      </c>
      <c r="E229" s="414">
        <v>0</v>
      </c>
      <c r="F229" s="414">
        <v>0</v>
      </c>
      <c r="G229" s="415">
        <v>0</v>
      </c>
      <c r="H229" s="544" t="str">
        <f t="shared" ref="H229" si="52">IF(E229=0,"",G229/E229*100)</f>
        <v/>
      </c>
      <c r="J229"/>
    </row>
    <row r="230" spans="2:10" s="309" customFormat="1" ht="25.5" customHeight="1" x14ac:dyDescent="0.2">
      <c r="B230" s="412"/>
      <c r="C230" s="383" t="s">
        <v>962</v>
      </c>
      <c r="D230" s="414">
        <v>0</v>
      </c>
      <c r="E230" s="414">
        <v>0</v>
      </c>
      <c r="F230" s="414">
        <v>0</v>
      </c>
      <c r="G230" s="415">
        <v>8313</v>
      </c>
      <c r="H230" s="544" t="str">
        <f t="shared" si="45"/>
        <v/>
      </c>
      <c r="J230"/>
    </row>
    <row r="231" spans="2:10" s="309" customFormat="1" ht="28.5" customHeight="1" x14ac:dyDescent="0.2">
      <c r="B231" s="412"/>
      <c r="C231" s="426" t="s">
        <v>350</v>
      </c>
      <c r="D231" s="414">
        <v>0</v>
      </c>
      <c r="E231" s="414">
        <v>0</v>
      </c>
      <c r="F231" s="414">
        <v>0</v>
      </c>
      <c r="G231" s="415">
        <v>30121</v>
      </c>
      <c r="H231" s="544" t="str">
        <f t="shared" ref="H231" si="53">IF(E231=0,"",G231/E231*100)</f>
        <v/>
      </c>
      <c r="J231"/>
    </row>
    <row r="232" spans="2:10" s="309" customFormat="1" ht="28.5" customHeight="1" x14ac:dyDescent="0.2">
      <c r="B232" s="412"/>
      <c r="C232" s="426" t="s">
        <v>351</v>
      </c>
      <c r="D232" s="414">
        <v>0</v>
      </c>
      <c r="E232" s="414">
        <v>0</v>
      </c>
      <c r="F232" s="414">
        <v>0</v>
      </c>
      <c r="G232" s="415">
        <v>19801</v>
      </c>
      <c r="H232" s="544" t="str">
        <f t="shared" ref="H232" si="54">IF(E232=0,"",G232/E232*100)</f>
        <v/>
      </c>
      <c r="J232"/>
    </row>
    <row r="233" spans="2:10" s="309" customFormat="1" ht="28.5" customHeight="1" x14ac:dyDescent="0.2">
      <c r="B233" s="412"/>
      <c r="C233" s="426" t="s">
        <v>352</v>
      </c>
      <c r="D233" s="414">
        <v>0</v>
      </c>
      <c r="E233" s="414">
        <v>9779</v>
      </c>
      <c r="F233" s="414">
        <v>9779</v>
      </c>
      <c r="G233" s="415">
        <v>9780</v>
      </c>
      <c r="H233" s="544">
        <f t="shared" si="45"/>
        <v>100.01022599447795</v>
      </c>
      <c r="J233"/>
    </row>
    <row r="234" spans="2:10" s="309" customFormat="1" ht="24.75" customHeight="1" x14ac:dyDescent="0.2">
      <c r="B234" s="412"/>
      <c r="C234" s="426" t="s">
        <v>353</v>
      </c>
      <c r="D234" s="414">
        <v>0</v>
      </c>
      <c r="E234" s="414">
        <v>0</v>
      </c>
      <c r="F234" s="414">
        <v>0</v>
      </c>
      <c r="G234" s="415">
        <v>0</v>
      </c>
      <c r="H234" s="544" t="str">
        <f t="shared" si="45"/>
        <v/>
      </c>
      <c r="J234"/>
    </row>
    <row r="235" spans="2:10" ht="28.5" customHeight="1" x14ac:dyDescent="0.2">
      <c r="B235" s="422"/>
      <c r="C235" s="497" t="s">
        <v>969</v>
      </c>
      <c r="D235" s="414">
        <v>0</v>
      </c>
      <c r="E235" s="414">
        <v>0</v>
      </c>
      <c r="F235" s="414">
        <v>0</v>
      </c>
      <c r="G235" s="415">
        <v>46396</v>
      </c>
      <c r="H235" s="543" t="str">
        <f t="shared" ref="H235" si="55">IF(E235=0,"",G235/E235*100)</f>
        <v/>
      </c>
    </row>
    <row r="236" spans="2:10" ht="15" customHeight="1" x14ac:dyDescent="0.2">
      <c r="B236" s="439">
        <v>742000</v>
      </c>
      <c r="C236" s="397" t="s">
        <v>354</v>
      </c>
      <c r="D236" s="398">
        <f>D237+D255</f>
        <v>0</v>
      </c>
      <c r="E236" s="398">
        <f>E237+E255</f>
        <v>190000</v>
      </c>
      <c r="F236" s="398">
        <f>F237+F255</f>
        <v>271359</v>
      </c>
      <c r="G236" s="399">
        <f>G237+G255</f>
        <v>2390877</v>
      </c>
      <c r="H236" s="541">
        <f t="shared" si="45"/>
        <v>1258.3563157894737</v>
      </c>
    </row>
    <row r="237" spans="2:10" ht="15" customHeight="1" x14ac:dyDescent="0.2">
      <c r="B237" s="422">
        <v>742100</v>
      </c>
      <c r="C237" s="427" t="s">
        <v>355</v>
      </c>
      <c r="D237" s="424">
        <f>D238+D254</f>
        <v>0</v>
      </c>
      <c r="E237" s="424">
        <f>E238+E254</f>
        <v>190000</v>
      </c>
      <c r="F237" s="424">
        <f>F238+F254</f>
        <v>271359</v>
      </c>
      <c r="G237" s="425">
        <f>G238+G254</f>
        <v>2390877</v>
      </c>
      <c r="H237" s="542">
        <f t="shared" si="45"/>
        <v>1258.3563157894737</v>
      </c>
    </row>
    <row r="238" spans="2:10" ht="15" customHeight="1" x14ac:dyDescent="0.2">
      <c r="B238" s="404">
        <v>742112</v>
      </c>
      <c r="C238" s="405" t="s">
        <v>356</v>
      </c>
      <c r="D238" s="406">
        <f>SUM(D239:D253)</f>
        <v>0</v>
      </c>
      <c r="E238" s="406">
        <f t="shared" ref="E238:G238" si="56">SUM(E239:E253)</f>
        <v>190000</v>
      </c>
      <c r="F238" s="406">
        <f t="shared" si="56"/>
        <v>271359</v>
      </c>
      <c r="G238" s="407">
        <f t="shared" si="56"/>
        <v>2390877</v>
      </c>
      <c r="H238" s="543">
        <f t="shared" si="45"/>
        <v>1258.3563157894737</v>
      </c>
    </row>
    <row r="239" spans="2:10" ht="25.5" x14ac:dyDescent="0.2">
      <c r="B239" s="422"/>
      <c r="C239" s="411" t="s">
        <v>357</v>
      </c>
      <c r="D239" s="414">
        <v>0</v>
      </c>
      <c r="E239" s="414">
        <v>0</v>
      </c>
      <c r="F239" s="414">
        <v>249233</v>
      </c>
      <c r="G239" s="415">
        <v>249233</v>
      </c>
      <c r="H239" s="543" t="str">
        <f t="shared" si="45"/>
        <v/>
      </c>
    </row>
    <row r="240" spans="2:10" ht="25.5" x14ac:dyDescent="0.2">
      <c r="B240" s="422"/>
      <c r="C240" s="411" t="s">
        <v>950</v>
      </c>
      <c r="D240" s="414">
        <v>0</v>
      </c>
      <c r="E240" s="414">
        <v>0</v>
      </c>
      <c r="F240" s="414">
        <v>0</v>
      </c>
      <c r="G240" s="415">
        <v>90000</v>
      </c>
      <c r="H240" s="543" t="str">
        <f t="shared" ref="H240" si="57">IF(E240=0,"",G240/E240*100)</f>
        <v/>
      </c>
    </row>
    <row r="241" spans="2:10" ht="25.5" x14ac:dyDescent="0.2">
      <c r="B241" s="422"/>
      <c r="C241" s="411" t="s">
        <v>963</v>
      </c>
      <c r="D241" s="414">
        <v>0</v>
      </c>
      <c r="E241" s="414">
        <v>0</v>
      </c>
      <c r="F241" s="414">
        <v>0</v>
      </c>
      <c r="G241" s="415">
        <v>90000</v>
      </c>
      <c r="H241" s="543" t="str">
        <f t="shared" ref="H241:H242" si="58">IF(E241=0,"",G241/E241*100)</f>
        <v/>
      </c>
    </row>
    <row r="242" spans="2:10" ht="42" customHeight="1" x14ac:dyDescent="0.2">
      <c r="B242" s="422"/>
      <c r="C242" s="411" t="s">
        <v>358</v>
      </c>
      <c r="D242" s="414">
        <v>0</v>
      </c>
      <c r="E242" s="414">
        <v>0</v>
      </c>
      <c r="F242" s="414">
        <v>0</v>
      </c>
      <c r="G242" s="415">
        <v>72718</v>
      </c>
      <c r="H242" s="542" t="str">
        <f t="shared" si="58"/>
        <v/>
      </c>
    </row>
    <row r="243" spans="2:10" ht="42" customHeight="1" x14ac:dyDescent="0.2">
      <c r="B243" s="422"/>
      <c r="C243" s="411" t="s">
        <v>359</v>
      </c>
      <c r="D243" s="414">
        <v>0</v>
      </c>
      <c r="E243" s="414">
        <v>0</v>
      </c>
      <c r="F243" s="414">
        <v>22126</v>
      </c>
      <c r="G243" s="415">
        <v>22126</v>
      </c>
      <c r="H243" s="542" t="str">
        <f t="shared" si="45"/>
        <v/>
      </c>
    </row>
    <row r="244" spans="2:10" ht="30.75" customHeight="1" x14ac:dyDescent="0.2">
      <c r="B244" s="422"/>
      <c r="C244" s="411" t="s">
        <v>360</v>
      </c>
      <c r="D244" s="414">
        <v>0</v>
      </c>
      <c r="E244" s="414">
        <v>0</v>
      </c>
      <c r="F244" s="414">
        <v>0</v>
      </c>
      <c r="G244" s="415">
        <v>1500000</v>
      </c>
      <c r="H244" s="542" t="str">
        <f t="shared" ref="H244" si="59">IF(E244=0,"",G244/E244*100)</f>
        <v/>
      </c>
    </row>
    <row r="245" spans="2:10" ht="42" customHeight="1" x14ac:dyDescent="0.2">
      <c r="B245" s="422"/>
      <c r="C245" s="429" t="s">
        <v>964</v>
      </c>
      <c r="D245" s="414">
        <v>0</v>
      </c>
      <c r="E245" s="414">
        <v>0</v>
      </c>
      <c r="F245" s="414">
        <v>0</v>
      </c>
      <c r="G245" s="415">
        <v>0</v>
      </c>
      <c r="H245" s="543" t="str">
        <f t="shared" si="45"/>
        <v/>
      </c>
      <c r="I245" s="244"/>
    </row>
    <row r="246" spans="2:10" ht="32.25" customHeight="1" x14ac:dyDescent="0.2">
      <c r="B246" s="422"/>
      <c r="C246" s="429" t="s">
        <v>965</v>
      </c>
      <c r="D246" s="414">
        <v>0</v>
      </c>
      <c r="E246" s="414">
        <v>0</v>
      </c>
      <c r="F246" s="414">
        <v>0</v>
      </c>
      <c r="G246" s="415">
        <v>0</v>
      </c>
      <c r="H246" s="543" t="str">
        <f t="shared" si="45"/>
        <v/>
      </c>
      <c r="I246" s="244"/>
    </row>
    <row r="247" spans="2:10" s="309" customFormat="1" ht="39.75" customHeight="1" x14ac:dyDescent="0.2">
      <c r="B247" s="412"/>
      <c r="C247" s="426" t="s">
        <v>966</v>
      </c>
      <c r="D247" s="414">
        <v>0</v>
      </c>
      <c r="E247" s="414">
        <v>100000</v>
      </c>
      <c r="F247" s="414">
        <v>0</v>
      </c>
      <c r="G247" s="415">
        <v>100000</v>
      </c>
      <c r="H247" s="544">
        <f t="shared" ref="H247" si="60">IF(E247=0,"",G247/E247*100)</f>
        <v>100</v>
      </c>
      <c r="J247"/>
    </row>
    <row r="248" spans="2:10" s="309" customFormat="1" ht="39.75" customHeight="1" x14ac:dyDescent="0.2">
      <c r="B248" s="412"/>
      <c r="C248" s="426" t="s">
        <v>967</v>
      </c>
      <c r="D248" s="414">
        <v>0</v>
      </c>
      <c r="E248" s="414">
        <v>90000</v>
      </c>
      <c r="F248" s="414">
        <v>0</v>
      </c>
      <c r="G248" s="415">
        <v>90000</v>
      </c>
      <c r="H248" s="544">
        <f t="shared" ref="H248" si="61">IF(E248=0,"",G248/E248*100)</f>
        <v>100</v>
      </c>
      <c r="J248"/>
    </row>
    <row r="249" spans="2:10" s="309" customFormat="1" ht="39.75" customHeight="1" x14ac:dyDescent="0.2">
      <c r="B249" s="412"/>
      <c r="C249" s="426" t="s">
        <v>975</v>
      </c>
      <c r="D249" s="414">
        <v>0</v>
      </c>
      <c r="E249" s="414">
        <v>0</v>
      </c>
      <c r="F249" s="414">
        <v>0</v>
      </c>
      <c r="G249" s="415">
        <v>55700</v>
      </c>
      <c r="H249" s="544" t="str">
        <f t="shared" ref="H249" si="62">IF(E249=0,"",G249/E249*100)</f>
        <v/>
      </c>
      <c r="J249"/>
    </row>
    <row r="250" spans="2:10" ht="25.5" customHeight="1" x14ac:dyDescent="0.2">
      <c r="B250" s="422"/>
      <c r="C250" s="497" t="s">
        <v>978</v>
      </c>
      <c r="D250" s="414">
        <v>0</v>
      </c>
      <c r="E250" s="414">
        <v>0</v>
      </c>
      <c r="F250" s="414">
        <v>0</v>
      </c>
      <c r="G250" s="415">
        <v>0</v>
      </c>
      <c r="H250" s="543" t="str">
        <f t="shared" si="45"/>
        <v/>
      </c>
    </row>
    <row r="251" spans="2:10" ht="27" customHeight="1" x14ac:dyDescent="0.2">
      <c r="B251" s="422"/>
      <c r="C251" s="411" t="s">
        <v>968</v>
      </c>
      <c r="D251" s="414">
        <v>0</v>
      </c>
      <c r="E251" s="414">
        <v>0</v>
      </c>
      <c r="F251" s="414">
        <v>0</v>
      </c>
      <c r="G251" s="415">
        <v>70000</v>
      </c>
      <c r="H251" s="543" t="str">
        <f t="shared" si="45"/>
        <v/>
      </c>
    </row>
    <row r="252" spans="2:10" ht="26.25" customHeight="1" x14ac:dyDescent="0.2">
      <c r="B252" s="422"/>
      <c r="C252" s="497" t="s">
        <v>977</v>
      </c>
      <c r="D252" s="414">
        <v>0</v>
      </c>
      <c r="E252" s="414">
        <v>0</v>
      </c>
      <c r="F252" s="414">
        <v>0</v>
      </c>
      <c r="G252" s="415">
        <v>0</v>
      </c>
      <c r="H252" s="546" t="str">
        <f t="shared" si="45"/>
        <v/>
      </c>
    </row>
    <row r="253" spans="2:10" s="309" customFormat="1" ht="39.75" customHeight="1" x14ac:dyDescent="0.2">
      <c r="B253" s="412"/>
      <c r="C253" s="426" t="s">
        <v>976</v>
      </c>
      <c r="D253" s="414">
        <v>0</v>
      </c>
      <c r="E253" s="414">
        <v>0</v>
      </c>
      <c r="F253" s="414">
        <v>0</v>
      </c>
      <c r="G253" s="415">
        <v>51100</v>
      </c>
      <c r="H253" s="544" t="str">
        <f t="shared" si="45"/>
        <v/>
      </c>
      <c r="J253"/>
    </row>
    <row r="254" spans="2:10" ht="15" customHeight="1" x14ac:dyDescent="0.2">
      <c r="B254" s="404">
        <v>742116</v>
      </c>
      <c r="C254" s="405" t="s">
        <v>361</v>
      </c>
      <c r="D254" s="406">
        <v>0</v>
      </c>
      <c r="E254" s="406">
        <v>0</v>
      </c>
      <c r="F254" s="406">
        <v>0</v>
      </c>
      <c r="G254" s="407">
        <v>0</v>
      </c>
      <c r="H254" s="543" t="str">
        <f t="shared" si="45"/>
        <v/>
      </c>
    </row>
    <row r="255" spans="2:10" ht="17.100000000000001" customHeight="1" x14ac:dyDescent="0.2">
      <c r="B255" s="422">
        <v>742200</v>
      </c>
      <c r="C255" s="427" t="s">
        <v>362</v>
      </c>
      <c r="D255" s="424">
        <f t="shared" ref="D255:G255" si="63">D256</f>
        <v>0</v>
      </c>
      <c r="E255" s="424">
        <f t="shared" si="63"/>
        <v>0</v>
      </c>
      <c r="F255" s="424">
        <f t="shared" si="63"/>
        <v>0</v>
      </c>
      <c r="G255" s="425">
        <f t="shared" si="63"/>
        <v>0</v>
      </c>
      <c r="H255" s="542" t="str">
        <f t="shared" si="45"/>
        <v/>
      </c>
    </row>
    <row r="256" spans="2:10" ht="17.100000000000001" customHeight="1" x14ac:dyDescent="0.2">
      <c r="B256" s="404">
        <v>742211</v>
      </c>
      <c r="C256" s="405" t="s">
        <v>362</v>
      </c>
      <c r="D256" s="406">
        <v>0</v>
      </c>
      <c r="E256" s="406">
        <v>0</v>
      </c>
      <c r="F256" s="406">
        <v>0</v>
      </c>
      <c r="G256" s="407">
        <v>0</v>
      </c>
      <c r="H256" s="543" t="str">
        <f t="shared" si="45"/>
        <v/>
      </c>
    </row>
    <row r="257" spans="2:10" ht="15" customHeight="1" x14ac:dyDescent="0.2">
      <c r="B257" s="400"/>
      <c r="C257" s="411"/>
      <c r="D257" s="406"/>
      <c r="E257" s="406"/>
      <c r="F257" s="406"/>
      <c r="G257" s="407"/>
      <c r="H257" s="542" t="str">
        <f t="shared" si="45"/>
        <v/>
      </c>
      <c r="J257" s="50"/>
    </row>
    <row r="258" spans="2:10" ht="15" customHeight="1" x14ac:dyDescent="0.2">
      <c r="B258" s="393">
        <v>777000</v>
      </c>
      <c r="C258" s="394" t="s">
        <v>363</v>
      </c>
      <c r="D258" s="398">
        <f>SUM(D259:D260)</f>
        <v>1340</v>
      </c>
      <c r="E258" s="398">
        <f>SUM(E259:E260)</f>
        <v>1340</v>
      </c>
      <c r="F258" s="398">
        <f>SUM(F259:F260)</f>
        <v>884</v>
      </c>
      <c r="G258" s="399">
        <f>SUM(G259:G260)</f>
        <v>1210</v>
      </c>
      <c r="H258" s="540">
        <f t="shared" si="45"/>
        <v>90.298507462686572</v>
      </c>
    </row>
    <row r="259" spans="2:10" ht="15" customHeight="1" x14ac:dyDescent="0.2">
      <c r="B259" s="404">
        <v>777778</v>
      </c>
      <c r="C259" s="405" t="s">
        <v>364</v>
      </c>
      <c r="D259" s="406">
        <v>1340</v>
      </c>
      <c r="E259" s="406">
        <v>1340</v>
      </c>
      <c r="F259" s="406">
        <v>884</v>
      </c>
      <c r="G259" s="407">
        <v>1210</v>
      </c>
      <c r="H259" s="544">
        <f t="shared" si="45"/>
        <v>90.298507462686572</v>
      </c>
    </row>
    <row r="260" spans="2:10" ht="15" customHeight="1" x14ac:dyDescent="0.2">
      <c r="B260" s="404">
        <v>777779</v>
      </c>
      <c r="C260" s="405" t="s">
        <v>365</v>
      </c>
      <c r="D260" s="406">
        <v>0</v>
      </c>
      <c r="E260" s="406">
        <v>0</v>
      </c>
      <c r="F260" s="406">
        <v>0</v>
      </c>
      <c r="G260" s="407">
        <v>0</v>
      </c>
      <c r="H260" s="544" t="str">
        <f t="shared" si="45"/>
        <v/>
      </c>
    </row>
    <row r="261" spans="2:10" ht="15" customHeight="1" x14ac:dyDescent="0.2">
      <c r="B261" s="442"/>
      <c r="C261" s="429"/>
      <c r="D261" s="406"/>
      <c r="E261" s="406"/>
      <c r="F261" s="406"/>
      <c r="G261" s="407"/>
      <c r="H261" s="544" t="str">
        <f t="shared" si="45"/>
        <v/>
      </c>
    </row>
    <row r="262" spans="2:10" ht="15" customHeight="1" x14ac:dyDescent="0.2">
      <c r="B262" s="616" t="s">
        <v>366</v>
      </c>
      <c r="C262" s="617"/>
      <c r="D262" s="433">
        <f>D186+D188+D220+D258</f>
        <v>66987000</v>
      </c>
      <c r="E262" s="433">
        <f>E186+E188+E220+E258</f>
        <v>67555493</v>
      </c>
      <c r="F262" s="433">
        <f>F186+F188+F220+F258</f>
        <v>29450845</v>
      </c>
      <c r="G262" s="434">
        <f>G186+G188+G220+G258</f>
        <v>71622480</v>
      </c>
      <c r="H262" s="568">
        <f t="shared" si="45"/>
        <v>106.0202165943782</v>
      </c>
    </row>
    <row r="263" spans="2:10" ht="15" customHeight="1" x14ac:dyDescent="0.2">
      <c r="B263" s="435"/>
      <c r="C263" s="436"/>
      <c r="D263" s="433"/>
      <c r="E263" s="433"/>
      <c r="F263" s="433"/>
      <c r="G263" s="434"/>
      <c r="H263" s="543" t="str">
        <f t="shared" si="45"/>
        <v/>
      </c>
    </row>
    <row r="264" spans="2:10" ht="17.100000000000001" customHeight="1" x14ac:dyDescent="0.2">
      <c r="B264" s="393">
        <v>810000</v>
      </c>
      <c r="C264" s="394" t="s">
        <v>367</v>
      </c>
      <c r="D264" s="395">
        <f>D265</f>
        <v>0</v>
      </c>
      <c r="E264" s="395">
        <f>E265</f>
        <v>0</v>
      </c>
      <c r="F264" s="395">
        <f>F265</f>
        <v>0</v>
      </c>
      <c r="G264" s="399">
        <f>G265</f>
        <v>0</v>
      </c>
      <c r="H264" s="564" t="str">
        <f t="shared" si="45"/>
        <v/>
      </c>
    </row>
    <row r="265" spans="2:10" ht="15" x14ac:dyDescent="0.2">
      <c r="B265" s="393">
        <v>811000</v>
      </c>
      <c r="C265" s="397" t="s">
        <v>368</v>
      </c>
      <c r="D265" s="398">
        <f>SUM(D266:D266)</f>
        <v>0</v>
      </c>
      <c r="E265" s="398">
        <f>SUM(E266:E266)</f>
        <v>0</v>
      </c>
      <c r="F265" s="398">
        <f>SUM(F266:F266)</f>
        <v>0</v>
      </c>
      <c r="G265" s="399">
        <f>SUM(G266:G266)</f>
        <v>0</v>
      </c>
      <c r="H265" s="565" t="str">
        <f t="shared" si="45"/>
        <v/>
      </c>
    </row>
    <row r="266" spans="2:10" ht="15" x14ac:dyDescent="0.2">
      <c r="B266" s="422">
        <v>811100</v>
      </c>
      <c r="C266" s="430" t="s">
        <v>369</v>
      </c>
      <c r="D266" s="402">
        <f t="shared" ref="D266:G266" si="64">D267</f>
        <v>0</v>
      </c>
      <c r="E266" s="402">
        <f t="shared" si="64"/>
        <v>0</v>
      </c>
      <c r="F266" s="402">
        <f t="shared" si="64"/>
        <v>0</v>
      </c>
      <c r="G266" s="403">
        <f t="shared" si="64"/>
        <v>0</v>
      </c>
      <c r="H266" s="562" t="str">
        <f t="shared" si="45"/>
        <v/>
      </c>
    </row>
    <row r="267" spans="2:10" x14ac:dyDescent="0.2">
      <c r="B267" s="404">
        <v>811114</v>
      </c>
      <c r="C267" s="405" t="s">
        <v>370</v>
      </c>
      <c r="D267" s="406">
        <v>0</v>
      </c>
      <c r="E267" s="406">
        <v>0</v>
      </c>
      <c r="F267" s="406">
        <v>0</v>
      </c>
      <c r="G267" s="407">
        <v>0</v>
      </c>
      <c r="H267" s="562" t="str">
        <f t="shared" si="45"/>
        <v/>
      </c>
    </row>
    <row r="268" spans="2:10" ht="15" thickBot="1" x14ac:dyDescent="0.25">
      <c r="B268" s="443"/>
      <c r="C268" s="444"/>
      <c r="D268" s="444"/>
      <c r="E268" s="444"/>
      <c r="F268" s="444"/>
      <c r="G268" s="560"/>
      <c r="H268" s="563" t="str">
        <f t="shared" si="45"/>
        <v/>
      </c>
    </row>
    <row r="269" spans="2:10" ht="15.75" thickBot="1" x14ac:dyDescent="0.3">
      <c r="B269" s="612" t="s">
        <v>371</v>
      </c>
      <c r="C269" s="613"/>
      <c r="D269" s="445">
        <f>D262+D264</f>
        <v>66987000</v>
      </c>
      <c r="E269" s="445">
        <f>E262+E264</f>
        <v>67555493</v>
      </c>
      <c r="F269" s="445">
        <f>F262+F264</f>
        <v>29450845</v>
      </c>
      <c r="G269" s="561">
        <f>G262+G264</f>
        <v>71622480</v>
      </c>
      <c r="H269" s="570">
        <f t="shared" si="45"/>
        <v>106.0202165943782</v>
      </c>
    </row>
  </sheetData>
  <mergeCells count="4">
    <mergeCell ref="B269:C269"/>
    <mergeCell ref="B2:H2"/>
    <mergeCell ref="B186:C186"/>
    <mergeCell ref="B262:C262"/>
  </mergeCells>
  <pageMargins left="0.98425196850393704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2:P136"/>
  <sheetViews>
    <sheetView topLeftCell="C3" zoomScaleNormal="100" workbookViewId="0">
      <selection activeCell="N16" sqref="N16"/>
    </sheetView>
  </sheetViews>
  <sheetFormatPr defaultColWidth="9.140625" defaultRowHeight="12" customHeight="1" x14ac:dyDescent="0.2"/>
  <cols>
    <col min="1" max="1" width="0.5703125" style="9" hidden="1" customWidth="1"/>
    <col min="2" max="2" width="5.7109375" style="9" hidden="1" customWidth="1"/>
    <col min="3" max="3" width="10.5703125" style="17" customWidth="1"/>
    <col min="4" max="4" width="7" style="17" customWidth="1"/>
    <col min="5" max="5" width="59.85546875" style="9" customWidth="1"/>
    <col min="6" max="7" width="15.7109375" style="9" customWidth="1"/>
    <col min="8" max="8" width="14.140625" style="9" customWidth="1"/>
    <col min="9" max="10" width="15.7109375" style="9" customWidth="1"/>
    <col min="11" max="11" width="14.7109375" style="9" customWidth="1"/>
    <col min="12" max="12" width="9.7109375" style="54" customWidth="1"/>
    <col min="13" max="13" width="9.140625" style="9"/>
    <col min="14" max="14" width="13.140625" style="45" bestFit="1" customWidth="1"/>
    <col min="15" max="16" width="10.140625" style="9" bestFit="1" customWidth="1"/>
    <col min="17" max="16384" width="9.140625" style="9"/>
  </cols>
  <sheetData>
    <row r="2" spans="2:16" ht="2.25" customHeight="1" x14ac:dyDescent="0.2"/>
    <row r="3" spans="2:16" s="1" customFormat="1" ht="30.75" customHeight="1" thickBot="1" x14ac:dyDescent="0.3">
      <c r="C3" s="621" t="s">
        <v>372</v>
      </c>
      <c r="D3" s="621"/>
      <c r="E3" s="621"/>
      <c r="F3" s="53"/>
      <c r="G3" s="53"/>
      <c r="H3" s="53"/>
      <c r="I3" s="53"/>
      <c r="J3" s="53"/>
      <c r="K3" s="619"/>
      <c r="L3" s="620"/>
      <c r="N3" s="46"/>
    </row>
    <row r="4" spans="2:16" s="1" customFormat="1" ht="39.75" customHeight="1" x14ac:dyDescent="0.2">
      <c r="B4" s="3" t="s">
        <v>373</v>
      </c>
      <c r="C4" s="626" t="s">
        <v>374</v>
      </c>
      <c r="D4" s="628" t="s">
        <v>375</v>
      </c>
      <c r="E4" s="630" t="s">
        <v>148</v>
      </c>
      <c r="F4" s="632" t="s">
        <v>149</v>
      </c>
      <c r="G4" s="632" t="s">
        <v>150</v>
      </c>
      <c r="H4" s="636" t="s">
        <v>376</v>
      </c>
      <c r="I4" s="623" t="s">
        <v>152</v>
      </c>
      <c r="J4" s="624"/>
      <c r="K4" s="625"/>
      <c r="L4" s="634" t="s">
        <v>110</v>
      </c>
      <c r="N4" s="46"/>
    </row>
    <row r="5" spans="2:16" s="1" customFormat="1" ht="28.5" customHeight="1" x14ac:dyDescent="0.2">
      <c r="B5" s="161"/>
      <c r="C5" s="627"/>
      <c r="D5" s="629"/>
      <c r="E5" s="631"/>
      <c r="F5" s="633"/>
      <c r="G5" s="633"/>
      <c r="H5" s="637"/>
      <c r="I5" s="447" t="s">
        <v>377</v>
      </c>
      <c r="J5" s="446" t="s">
        <v>378</v>
      </c>
      <c r="K5" s="448" t="s">
        <v>379</v>
      </c>
      <c r="L5" s="635"/>
      <c r="N5" s="46"/>
    </row>
    <row r="6" spans="2:16" s="2" customFormat="1" ht="14.1" customHeight="1" x14ac:dyDescent="0.2">
      <c r="B6" s="4">
        <v>1</v>
      </c>
      <c r="C6" s="508">
        <v>1</v>
      </c>
      <c r="D6" s="509"/>
      <c r="E6" s="510">
        <v>2</v>
      </c>
      <c r="F6" s="511">
        <v>3</v>
      </c>
      <c r="G6" s="511">
        <v>4</v>
      </c>
      <c r="H6" s="511">
        <v>5</v>
      </c>
      <c r="I6" s="508">
        <v>6</v>
      </c>
      <c r="J6" s="510">
        <v>7</v>
      </c>
      <c r="K6" s="512" t="s">
        <v>380</v>
      </c>
      <c r="L6" s="520" t="s">
        <v>381</v>
      </c>
      <c r="N6" s="52"/>
    </row>
    <row r="7" spans="2:16" s="2" customFormat="1" ht="15" customHeight="1" x14ac:dyDescent="0.25">
      <c r="B7" s="4"/>
      <c r="C7" s="167"/>
      <c r="D7" s="168"/>
      <c r="E7" s="169" t="s">
        <v>382</v>
      </c>
      <c r="F7" s="170">
        <f t="shared" ref="F7:K7" si="0">F9+F15+F21+F26+F52+F92+F99+F103+F112</f>
        <v>66987000</v>
      </c>
      <c r="G7" s="170">
        <f t="shared" si="0"/>
        <v>67555493</v>
      </c>
      <c r="H7" s="170">
        <f t="shared" si="0"/>
        <v>27337851</v>
      </c>
      <c r="I7" s="449">
        <f t="shared" si="0"/>
        <v>63031671</v>
      </c>
      <c r="J7" s="170">
        <f t="shared" si="0"/>
        <v>9088129</v>
      </c>
      <c r="K7" s="450">
        <f t="shared" si="0"/>
        <v>72119800</v>
      </c>
      <c r="L7" s="521">
        <f>IF(G7=0,"",K7/G7*100)</f>
        <v>106.75638174974165</v>
      </c>
      <c r="N7" s="52"/>
    </row>
    <row r="8" spans="2:16" s="2" customFormat="1" ht="9" customHeight="1" x14ac:dyDescent="0.25">
      <c r="B8" s="4"/>
      <c r="C8" s="4"/>
      <c r="D8" s="128"/>
      <c r="E8" s="19"/>
      <c r="F8" s="18"/>
      <c r="G8" s="18"/>
      <c r="H8" s="18"/>
      <c r="I8" s="451"/>
      <c r="J8" s="18"/>
      <c r="K8" s="450"/>
      <c r="L8" s="522" t="str">
        <f>IF(F8=0,"",K8/F8*100)</f>
        <v/>
      </c>
      <c r="N8" s="52"/>
    </row>
    <row r="9" spans="2:16" s="2" customFormat="1" ht="15" customHeight="1" x14ac:dyDescent="0.25">
      <c r="B9" s="4"/>
      <c r="C9" s="171">
        <v>600000</v>
      </c>
      <c r="D9" s="172"/>
      <c r="E9" s="169" t="s">
        <v>383</v>
      </c>
      <c r="F9" s="170">
        <f>F10+F11+F12+F13</f>
        <v>560000</v>
      </c>
      <c r="G9" s="170">
        <f t="shared" ref="G9:H9" si="1">G10+G11+G12+G13</f>
        <v>560000</v>
      </c>
      <c r="H9" s="170">
        <f t="shared" si="1"/>
        <v>241971</v>
      </c>
      <c r="I9" s="449">
        <f>I10+I11+I12+I13</f>
        <v>660000</v>
      </c>
      <c r="J9" s="170">
        <f>J10+J11+J12+J13</f>
        <v>0</v>
      </c>
      <c r="K9" s="450">
        <f>K10+K11+K12+K13</f>
        <v>660000</v>
      </c>
      <c r="L9" s="521">
        <f t="shared" ref="L9:L41" si="2">IF(G9=0,"",K9/G9*100)</f>
        <v>117.85714285714286</v>
      </c>
      <c r="N9" s="45"/>
    </row>
    <row r="10" spans="2:16" s="2" customFormat="1" ht="15" customHeight="1" x14ac:dyDescent="0.2">
      <c r="B10" s="4"/>
      <c r="C10" s="102">
        <v>600000</v>
      </c>
      <c r="D10" s="390"/>
      <c r="E10" s="35" t="s">
        <v>384</v>
      </c>
      <c r="F10" s="37">
        <f>'2'!I9</f>
        <v>500000</v>
      </c>
      <c r="G10" s="37">
        <f>'2'!J9</f>
        <v>500000</v>
      </c>
      <c r="H10" s="37">
        <f>'2'!K9</f>
        <v>211071</v>
      </c>
      <c r="I10" s="452">
        <f>'2'!L9</f>
        <v>600000</v>
      </c>
      <c r="J10" s="37">
        <f>'2'!M9</f>
        <v>0</v>
      </c>
      <c r="K10" s="453">
        <f>'2'!N9</f>
        <v>600000</v>
      </c>
      <c r="L10" s="522">
        <f t="shared" si="2"/>
        <v>120</v>
      </c>
      <c r="N10" s="52"/>
      <c r="P10" s="52"/>
    </row>
    <row r="11" spans="2:16" s="2" customFormat="1" ht="15" customHeight="1" x14ac:dyDescent="0.2">
      <c r="B11" s="4"/>
      <c r="C11" s="102">
        <v>600000</v>
      </c>
      <c r="D11" s="390"/>
      <c r="E11" s="35" t="s">
        <v>385</v>
      </c>
      <c r="F11" s="37">
        <f>'2'!I10</f>
        <v>30000</v>
      </c>
      <c r="G11" s="37">
        <f>'2'!J10</f>
        <v>30000</v>
      </c>
      <c r="H11" s="37">
        <f>'2'!K10</f>
        <v>14400</v>
      </c>
      <c r="I11" s="452">
        <f>'2'!L10</f>
        <v>30000</v>
      </c>
      <c r="J11" s="37">
        <f>'2'!M10</f>
        <v>0</v>
      </c>
      <c r="K11" s="453">
        <f>'2'!N10</f>
        <v>30000</v>
      </c>
      <c r="L11" s="522">
        <f t="shared" si="2"/>
        <v>100</v>
      </c>
      <c r="N11" s="52"/>
      <c r="O11" s="52"/>
    </row>
    <row r="12" spans="2:16" s="2" customFormat="1" ht="15" customHeight="1" x14ac:dyDescent="0.2">
      <c r="B12" s="4"/>
      <c r="C12" s="102">
        <v>600000</v>
      </c>
      <c r="D12" s="390"/>
      <c r="E12" s="35" t="s">
        <v>386</v>
      </c>
      <c r="F12" s="37">
        <f>'2'!I11</f>
        <v>15000</v>
      </c>
      <c r="G12" s="37">
        <f>'2'!J11</f>
        <v>15000</v>
      </c>
      <c r="H12" s="37">
        <f>'2'!K11</f>
        <v>7600</v>
      </c>
      <c r="I12" s="452">
        <f>'2'!L11</f>
        <v>15000</v>
      </c>
      <c r="J12" s="37">
        <f>'2'!M11</f>
        <v>0</v>
      </c>
      <c r="K12" s="453">
        <f>'2'!N11</f>
        <v>15000</v>
      </c>
      <c r="L12" s="522">
        <f t="shared" si="2"/>
        <v>100</v>
      </c>
      <c r="N12" s="52"/>
      <c r="P12" s="52"/>
    </row>
    <row r="13" spans="2:16" s="2" customFormat="1" ht="15" customHeight="1" x14ac:dyDescent="0.2">
      <c r="B13" s="4"/>
      <c r="C13" s="102">
        <v>600000</v>
      </c>
      <c r="D13" s="390"/>
      <c r="E13" s="35" t="s">
        <v>387</v>
      </c>
      <c r="F13" s="37">
        <f>'16'!I9</f>
        <v>15000</v>
      </c>
      <c r="G13" s="37">
        <f>'16'!J9</f>
        <v>15000</v>
      </c>
      <c r="H13" s="37">
        <f>'16'!K9</f>
        <v>8900</v>
      </c>
      <c r="I13" s="452">
        <f>'16'!L9</f>
        <v>15000</v>
      </c>
      <c r="J13" s="37">
        <f>'16'!M9</f>
        <v>0</v>
      </c>
      <c r="K13" s="453">
        <f>'16'!N9</f>
        <v>15000</v>
      </c>
      <c r="L13" s="522">
        <f t="shared" si="2"/>
        <v>100</v>
      </c>
      <c r="N13" s="52"/>
    </row>
    <row r="14" spans="2:16" s="2" customFormat="1" ht="10.5" customHeight="1" x14ac:dyDescent="0.25">
      <c r="B14" s="4"/>
      <c r="C14" s="102"/>
      <c r="D14" s="390"/>
      <c r="E14" s="35"/>
      <c r="F14" s="18"/>
      <c r="G14" s="18"/>
      <c r="H14" s="18"/>
      <c r="I14" s="451"/>
      <c r="J14" s="18"/>
      <c r="K14" s="450"/>
      <c r="L14" s="522" t="str">
        <f t="shared" si="2"/>
        <v/>
      </c>
      <c r="N14" s="52"/>
    </row>
    <row r="15" spans="2:16" s="1" customFormat="1" ht="15" customHeight="1" x14ac:dyDescent="0.25">
      <c r="B15" s="6"/>
      <c r="C15" s="171">
        <v>611000</v>
      </c>
      <c r="D15" s="391"/>
      <c r="E15" s="173" t="s">
        <v>388</v>
      </c>
      <c r="F15" s="174">
        <f>F16+F17</f>
        <v>33101160</v>
      </c>
      <c r="G15" s="174">
        <f t="shared" ref="G15:H15" si="3">G16+G17</f>
        <v>33113960</v>
      </c>
      <c r="H15" s="174">
        <f t="shared" si="3"/>
        <v>16833602</v>
      </c>
      <c r="I15" s="454">
        <f>I16+I17</f>
        <v>34642440</v>
      </c>
      <c r="J15" s="174">
        <f>J16+J17</f>
        <v>0</v>
      </c>
      <c r="K15" s="455">
        <f>K16+K17</f>
        <v>34642440</v>
      </c>
      <c r="L15" s="523">
        <f t="shared" si="2"/>
        <v>104.61581761891358</v>
      </c>
      <c r="N15" s="45"/>
      <c r="O15" s="46"/>
      <c r="P15" s="46"/>
    </row>
    <row r="16" spans="2:16" ht="15" customHeight="1" x14ac:dyDescent="0.2">
      <c r="B16" s="10"/>
      <c r="C16" s="103">
        <v>611100</v>
      </c>
      <c r="D16" s="390"/>
      <c r="E16" s="11" t="s">
        <v>389</v>
      </c>
      <c r="F16" s="28">
        <f>'1'!I9+'2'!I14+'6'!I9+'3'!I9+'4'!I9+'7'!I9+'8'!I9+'9'!I9+'10'!I9+'11'!I9+'12'!I9+'13'!I9+'15'!I9+'16'!I12+'17'!I9+'18'!I9+'19'!I9+'20'!I9+'22'!I9+'23'!I9+'21'!I9+'24'!I9+'25'!I9+'26'!I9+'27'!I9+'28'!I9+'29'!I9+'30'!I9+'31'!I9+'32'!I9+'33'!I9+'34'!I9+'35'!I9+'36'!I9+'37'!I9+'5'!I9+'14'!I9</f>
        <v>27835190</v>
      </c>
      <c r="G16" s="28">
        <f>'1'!J9+'2'!J14+'6'!J9+'3'!J9+'4'!J9+'7'!J9+'8'!J9+'9'!J9+'10'!J9+'11'!J9+'12'!J9+'13'!J9+'15'!J9+'16'!J12+'17'!J9+'18'!J9+'19'!J9+'20'!J9+'22'!J9+'23'!J9+'21'!J9+'24'!J9+'25'!J9+'26'!J9+'27'!J9+'28'!J9+'29'!J9+'30'!J9+'31'!J9+'32'!J9+'33'!J9+'34'!J9+'35'!J9+'36'!J9+'37'!J9+'5'!J9+'14'!J9</f>
        <v>27835190</v>
      </c>
      <c r="H16" s="28">
        <f>'1'!K9+'2'!K14+'6'!K9+'3'!K9+'4'!K9+'7'!K9+'8'!K9+'9'!K9+'10'!K9+'11'!K9+'12'!K9+'13'!K9+'15'!K9+'16'!K12+'17'!K9+'18'!K9+'19'!K9+'20'!K9+'22'!K9+'23'!K9+'21'!K9+'24'!K9+'25'!K9+'26'!K9+'27'!K9+'28'!K9+'29'!K9+'30'!K9+'31'!K9+'32'!K9+'33'!K9+'34'!K9+'35'!K9+'36'!K9+'37'!K9+'5'!K9+'14'!K9</f>
        <v>13924784</v>
      </c>
      <c r="I16" s="456">
        <f>'1'!L9+'2'!L14+'6'!L9+'3'!L9+'4'!L9+'7'!L9+'8'!L9+'9'!L9+'10'!L9+'11'!L9+'12'!L9+'13'!L9+'15'!L9+'16'!L12+'17'!L9+'18'!L9+'19'!L9+'20'!L9+'22'!L9+'23'!L9+'21'!L9+'24'!L9+'25'!L9+'26'!L9+'27'!L9+'28'!L9+'29'!L9+'30'!L9+'31'!L9+'32'!L9+'33'!L9+'34'!L9+'35'!L9+'36'!L9+'37'!L9+'5'!L9+'14'!L9</f>
        <v>28345090</v>
      </c>
      <c r="J16" s="28">
        <f>'1'!M9+'2'!M14+'6'!M9+'3'!M9+'4'!M9+'7'!M9+'8'!M9+'9'!M9+'10'!M9+'11'!M9+'12'!M9+'13'!M9+'15'!M9+'16'!M12+'17'!M9+'18'!M9+'19'!M9+'20'!M9+'22'!M9+'23'!M9+'21'!M9+'24'!M9+'25'!M9+'26'!M9+'27'!M9+'28'!M9+'29'!M9+'30'!M9+'31'!M9+'32'!M9+'33'!M9+'34'!M9+'35'!M9+'36'!M9+'37'!M9+'5'!M9+'14'!M9</f>
        <v>0</v>
      </c>
      <c r="K16" s="457">
        <f>'1'!N9+'2'!N14+'6'!N9+'3'!N9+'4'!N9+'7'!N9+'8'!N9+'9'!N9+'10'!N9+'11'!N9+'12'!N9+'13'!N9+'15'!N9+'16'!N12+'17'!N9+'18'!N9+'19'!N9+'20'!N9+'22'!N9+'23'!N9+'21'!N9+'24'!N9+'25'!N9+'26'!N9+'27'!N9+'28'!N9+'29'!N9+'30'!N9+'31'!N9+'32'!N9+'33'!N9+'34'!N9+'35'!N9+'36'!N9+'37'!N9+'5'!N9+'14'!N9</f>
        <v>28345090</v>
      </c>
      <c r="L16" s="522">
        <f t="shared" si="2"/>
        <v>101.83185385118621</v>
      </c>
    </row>
    <row r="17" spans="2:15" ht="15" customHeight="1" x14ac:dyDescent="0.2">
      <c r="B17" s="10"/>
      <c r="C17" s="103">
        <v>611200</v>
      </c>
      <c r="D17" s="390"/>
      <c r="E17" s="11" t="s">
        <v>390</v>
      </c>
      <c r="F17" s="28">
        <f>F18+F19</f>
        <v>5265970</v>
      </c>
      <c r="G17" s="28">
        <f t="shared" ref="G17" si="4">G18+G19</f>
        <v>5278770</v>
      </c>
      <c r="H17" s="28">
        <f t="shared" ref="H17" si="5">H18+H19</f>
        <v>2908818</v>
      </c>
      <c r="I17" s="456">
        <f t="shared" ref="I17" si="6">I18+I19</f>
        <v>6297350</v>
      </c>
      <c r="J17" s="28">
        <f t="shared" ref="J17:K17" si="7">J18+J19</f>
        <v>0</v>
      </c>
      <c r="K17" s="457">
        <f t="shared" si="7"/>
        <v>6297350</v>
      </c>
      <c r="L17" s="522">
        <f t="shared" si="2"/>
        <v>119.29578291912699</v>
      </c>
    </row>
    <row r="18" spans="2:15" ht="15" customHeight="1" x14ac:dyDescent="0.2">
      <c r="B18" s="10"/>
      <c r="C18" s="104">
        <v>611200</v>
      </c>
      <c r="D18" s="392"/>
      <c r="E18" s="100" t="s">
        <v>391</v>
      </c>
      <c r="F18" s="101">
        <f>'1'!I10+'2'!I15+'6'!I10+'3'!I10+'4'!I10+'7'!I10+'8'!I10+'9'!I10+'10'!I10+'11'!I10+'12'!I10+'13'!I10+'15'!I10+'16'!I13+'17'!I10+'18'!I10+'19'!I10+'20'!I10+'22'!I10+'23'!I10+'21'!I10+'24'!I10+'25'!I10+'26'!I10+'27'!I10+'28'!I10+'29'!I10+'30'!I10+'31'!I10+'32'!I10+'33'!I10+'34'!I10+'35'!I10+'36'!I10+'37'!I10+'5'!I10+'14'!I10</f>
        <v>5220610</v>
      </c>
      <c r="G18" s="101">
        <f>'1'!J10+'2'!J15+'6'!J10+'3'!J10+'4'!J10+'7'!J10+'8'!J10+'9'!J10+'10'!J10+'11'!J10+'12'!J10+'13'!J10+'15'!J10+'16'!J13+'17'!J10+'18'!J10+'19'!J10+'20'!J10+'22'!J10+'23'!J10+'21'!J10+'24'!J10+'25'!J10+'26'!J10+'27'!J10+'28'!J10+'29'!J10+'30'!J10+'31'!J10+'32'!J10+'33'!J10+'34'!J10+'35'!J10+'36'!J10+'37'!J10+'5'!J10+'14'!J10</f>
        <v>5233410</v>
      </c>
      <c r="H18" s="101">
        <f>'1'!K10+'2'!K15+'6'!K10+'3'!K10+'4'!K10+'7'!K10+'8'!K10+'9'!K10+'10'!K10+'11'!K10+'12'!K10+'13'!K10+'15'!K10+'16'!K13+'17'!K10+'18'!K10+'19'!K10+'20'!K10+'22'!K10+'23'!K10+'21'!K10+'24'!K10+'25'!K10+'26'!K10+'27'!K10+'28'!K10+'29'!K10+'30'!K10+'31'!K10+'32'!K10+'33'!K10+'34'!K10+'35'!K10+'36'!K10+'37'!K10+'5'!K10+'14'!K10</f>
        <v>2904792</v>
      </c>
      <c r="I18" s="458">
        <f>'1'!L10+'2'!L15+'6'!L10+'3'!L10+'4'!L10+'7'!L10+'8'!L10+'9'!L10+'10'!L10+'11'!L10+'12'!L10+'13'!L10+'15'!L10+'16'!L13+'17'!L10+'18'!L10+'19'!L10+'20'!L10+'22'!L10+'23'!L10+'21'!L10+'24'!L10+'25'!L10+'26'!L10+'27'!L10+'28'!L10+'29'!L10+'30'!L10+'31'!L10+'32'!L10+'33'!L10+'34'!L10+'35'!L10+'36'!L10+'37'!L10+'5'!L10+'14'!L10</f>
        <v>6290450</v>
      </c>
      <c r="J18" s="101">
        <f>'1'!M10+'2'!M15+'6'!M10+'3'!M10+'4'!M10+'7'!M10+'8'!M10+'9'!M10+'10'!M10+'11'!M10+'12'!M10+'13'!M10+'15'!M10+'16'!M13+'17'!M10+'18'!M10+'19'!M10+'20'!M10+'22'!M10+'23'!M10+'21'!M10+'24'!M10+'25'!M10+'26'!M10+'27'!M10+'28'!M10+'29'!M10+'30'!M10+'31'!M10+'32'!M10+'33'!M10+'34'!M10+'35'!M10+'36'!M10+'37'!M10+'5'!M10+'14'!M10</f>
        <v>0</v>
      </c>
      <c r="K18" s="459">
        <f>'1'!N10+'2'!N15+'6'!N10+'3'!N10+'4'!N10+'7'!N10+'8'!N10+'9'!N10+'10'!N10+'11'!N10+'12'!N10+'13'!N10+'15'!N10+'16'!N13+'17'!N10+'18'!N10+'19'!N10+'20'!N10+'22'!N10+'23'!N10+'21'!N10+'24'!N10+'25'!N10+'26'!N10+'27'!N10+'28'!N10+'29'!N10+'30'!N10+'31'!N10+'32'!N10+'33'!N10+'34'!N10+'35'!N10+'36'!N10+'37'!N10+'5'!N10+'14'!N10</f>
        <v>6290450</v>
      </c>
      <c r="L18" s="524">
        <f t="shared" si="2"/>
        <v>120.19792066740425</v>
      </c>
    </row>
    <row r="19" spans="2:15" ht="15" customHeight="1" x14ac:dyDescent="0.2">
      <c r="B19" s="10"/>
      <c r="C19" s="104">
        <v>611200</v>
      </c>
      <c r="D19" s="392" t="s">
        <v>392</v>
      </c>
      <c r="E19" s="100" t="s">
        <v>393</v>
      </c>
      <c r="F19" s="101">
        <f>'2'!I16</f>
        <v>45360</v>
      </c>
      <c r="G19" s="101">
        <f>'2'!J16</f>
        <v>45360</v>
      </c>
      <c r="H19" s="101">
        <f>'2'!K16</f>
        <v>4026</v>
      </c>
      <c r="I19" s="458">
        <f>'2'!L16</f>
        <v>6900</v>
      </c>
      <c r="J19" s="101">
        <f>'2'!M16</f>
        <v>0</v>
      </c>
      <c r="K19" s="459">
        <f>'2'!N16</f>
        <v>6900</v>
      </c>
      <c r="L19" s="524">
        <f t="shared" si="2"/>
        <v>15.211640211640212</v>
      </c>
    </row>
    <row r="20" spans="2:15" ht="12.75" customHeight="1" x14ac:dyDescent="0.2">
      <c r="B20" s="10"/>
      <c r="C20" s="103"/>
      <c r="D20" s="390"/>
      <c r="E20" s="11"/>
      <c r="F20" s="27"/>
      <c r="G20" s="27"/>
      <c r="H20" s="27"/>
      <c r="I20" s="258"/>
      <c r="J20" s="27"/>
      <c r="K20" s="457"/>
      <c r="L20" s="522" t="str">
        <f t="shared" si="2"/>
        <v/>
      </c>
    </row>
    <row r="21" spans="2:15" ht="15" customHeight="1" x14ac:dyDescent="0.2">
      <c r="B21" s="10"/>
      <c r="C21" s="171">
        <v>612000</v>
      </c>
      <c r="D21" s="391"/>
      <c r="E21" s="370" t="s">
        <v>394</v>
      </c>
      <c r="F21" s="371">
        <f>SUM(F22:F24)</f>
        <v>3299960</v>
      </c>
      <c r="G21" s="371">
        <f t="shared" ref="G21:K21" si="8">SUM(G22:G24)</f>
        <v>3299960</v>
      </c>
      <c r="H21" s="371">
        <f t="shared" si="8"/>
        <v>1672728</v>
      </c>
      <c r="I21" s="460">
        <f t="shared" si="8"/>
        <v>3444220</v>
      </c>
      <c r="J21" s="371">
        <f t="shared" si="8"/>
        <v>0</v>
      </c>
      <c r="K21" s="461">
        <f t="shared" si="8"/>
        <v>3444220</v>
      </c>
      <c r="L21" s="525">
        <f t="shared" si="2"/>
        <v>104.37156814021988</v>
      </c>
      <c r="O21" s="45"/>
    </row>
    <row r="22" spans="2:15" s="1" customFormat="1" ht="15" customHeight="1" x14ac:dyDescent="0.2">
      <c r="B22" s="12"/>
      <c r="C22" s="103">
        <v>612100</v>
      </c>
      <c r="D22" s="390"/>
      <c r="E22" s="64" t="s">
        <v>395</v>
      </c>
      <c r="F22" s="372">
        <f>'1'!I13+'2'!I19+'6'!I13+'3'!I13+'4'!I13+'7'!I13+'8'!I13+'9'!I13+'10'!I13+'11'!I13+'12'!I13+'13'!I13+'15'!I13+'16'!I16+'17'!I13+'18'!I13+'19'!I13+'20'!I13+'22'!I13+'23'!I13+'21'!I13+'24'!I13+'25'!I13+'26'!I13+'27'!I13+'28'!I13+'29'!I13+'30'!I13+'31'!I13+'32'!I13+'33'!I13+'34'!I13+'35'!I13+'36'!I13+'37'!I13+'5'!I13+'14'!I13</f>
        <v>3289960</v>
      </c>
      <c r="G22" s="372">
        <f>'1'!J13+'2'!J19+'6'!J13+'3'!J13+'4'!J13+'7'!J13+'8'!J13+'9'!J13+'10'!J13+'11'!J13+'12'!J13+'13'!J13+'15'!J13+'16'!J16+'17'!J13+'18'!J13+'19'!J13+'20'!J13+'22'!J13+'23'!J13+'21'!J13+'24'!J13+'25'!J13+'26'!J13+'27'!J13+'28'!J13+'29'!J13+'30'!J13+'31'!J13+'32'!J13+'33'!J13+'34'!J13+'35'!J13+'36'!J13+'37'!J13+'5'!J13+'14'!J13</f>
        <v>3289960</v>
      </c>
      <c r="H22" s="372">
        <f>'1'!K13+'2'!K19+'6'!K13+'3'!K13+'4'!K13+'7'!K13+'8'!K13+'9'!K13+'10'!K13+'11'!K13+'12'!K13+'13'!K13+'15'!K13+'16'!K16+'17'!K13+'18'!K13+'19'!K13+'20'!K13+'22'!K13+'23'!K13+'21'!K13+'24'!K13+'25'!K13+'26'!K13+'27'!K13+'28'!K13+'29'!K13+'30'!K13+'31'!K13+'32'!K13+'33'!K13+'34'!K13+'35'!K13+'36'!K13+'37'!K13+'5'!K13+'14'!K13</f>
        <v>1662863</v>
      </c>
      <c r="I22" s="462">
        <f>'1'!L13+'2'!L19+'6'!L13+'3'!L13+'4'!L13+'7'!L13+'8'!L13+'9'!L13+'10'!L13+'11'!L13+'12'!L13+'13'!L13+'15'!L13+'16'!L16+'17'!L13+'18'!L13+'19'!L13+'20'!L13+'22'!L13+'23'!L13+'21'!L13+'24'!L13+'25'!L13+'26'!L13+'27'!L13+'28'!L13+'29'!L13+'30'!L13+'31'!L13+'32'!L13+'33'!L13+'34'!L13+'35'!L13+'36'!L13+'37'!L13+'5'!L13+'14'!L13</f>
        <v>3380220</v>
      </c>
      <c r="J22" s="372">
        <f>'1'!M13+'2'!M19+'6'!M13+'3'!M13+'4'!M13+'7'!M13+'8'!M13+'9'!M13+'10'!M13+'11'!M13+'12'!M13+'13'!M13+'15'!M13+'16'!M16+'17'!M13+'18'!M13+'19'!M13+'20'!M13+'22'!M13+'23'!M13+'21'!M13+'24'!M13+'25'!M13+'26'!M13+'27'!M13+'28'!M13+'29'!M13+'30'!M13+'31'!M13+'32'!M13+'33'!M13+'34'!M13+'35'!M13+'36'!M13+'37'!M13+'5'!M13+'14'!M13</f>
        <v>0</v>
      </c>
      <c r="K22" s="463">
        <f>'1'!N13+'2'!N19+'6'!N13+'3'!N13+'4'!N13+'7'!N13+'8'!N13+'9'!N13+'10'!N13+'11'!N13+'12'!N13+'13'!N13+'15'!N13+'16'!N16+'17'!N13+'18'!N13+'19'!N13+'20'!N13+'22'!N13+'23'!N13+'21'!N13+'24'!N13+'25'!N13+'26'!N13+'27'!N13+'28'!N13+'29'!N13+'30'!N13+'31'!N13+'32'!N13+'33'!N13+'34'!N13+'35'!N13+'36'!N13+'37'!N13+'5'!N13+'14'!N13</f>
        <v>3380220</v>
      </c>
      <c r="L22" s="526">
        <f t="shared" si="2"/>
        <v>102.74349840119636</v>
      </c>
    </row>
    <row r="23" spans="2:15" s="1" customFormat="1" ht="15" customHeight="1" x14ac:dyDescent="0.2">
      <c r="B23" s="12"/>
      <c r="C23" s="103">
        <v>612100</v>
      </c>
      <c r="D23" s="390" t="s">
        <v>396</v>
      </c>
      <c r="E23" s="64" t="s">
        <v>397</v>
      </c>
      <c r="F23" s="372">
        <f>'8'!I14</f>
        <v>0</v>
      </c>
      <c r="G23" s="372">
        <f>'8'!J14</f>
        <v>0</v>
      </c>
      <c r="H23" s="372">
        <f>'8'!K14</f>
        <v>0</v>
      </c>
      <c r="I23" s="462">
        <f>'8'!L14</f>
        <v>0</v>
      </c>
      <c r="J23" s="372">
        <f>'8'!M14</f>
        <v>0</v>
      </c>
      <c r="K23" s="463">
        <f>'8'!N14</f>
        <v>0</v>
      </c>
      <c r="L23" s="526" t="str">
        <f t="shared" si="2"/>
        <v/>
      </c>
      <c r="N23" s="45"/>
    </row>
    <row r="24" spans="2:15" s="1" customFormat="1" ht="15" customHeight="1" x14ac:dyDescent="0.2">
      <c r="B24" s="12"/>
      <c r="C24" s="103">
        <v>612100</v>
      </c>
      <c r="D24" s="390" t="s">
        <v>398</v>
      </c>
      <c r="E24" s="64" t="s">
        <v>399</v>
      </c>
      <c r="F24" s="372">
        <f>'8'!I15</f>
        <v>10000</v>
      </c>
      <c r="G24" s="372">
        <f>'8'!J15</f>
        <v>10000</v>
      </c>
      <c r="H24" s="372">
        <f>'8'!K15</f>
        <v>9865</v>
      </c>
      <c r="I24" s="462">
        <f>'8'!L15</f>
        <v>64000</v>
      </c>
      <c r="J24" s="372">
        <f>'8'!M15</f>
        <v>0</v>
      </c>
      <c r="K24" s="463">
        <f>'8'!N15</f>
        <v>64000</v>
      </c>
      <c r="L24" s="526">
        <f t="shared" ref="L24" si="9">IF(G24=0,"",K24/G24*100)</f>
        <v>640</v>
      </c>
      <c r="N24" s="45"/>
    </row>
    <row r="25" spans="2:15" ht="11.25" customHeight="1" x14ac:dyDescent="0.2">
      <c r="B25" s="10"/>
      <c r="C25" s="103"/>
      <c r="D25" s="390"/>
      <c r="E25" s="61"/>
      <c r="F25" s="372"/>
      <c r="G25" s="372"/>
      <c r="H25" s="372"/>
      <c r="I25" s="462"/>
      <c r="J25" s="372"/>
      <c r="K25" s="463"/>
      <c r="L25" s="526" t="str">
        <f t="shared" si="2"/>
        <v/>
      </c>
      <c r="N25" s="584"/>
    </row>
    <row r="26" spans="2:15" ht="15" customHeight="1" x14ac:dyDescent="0.2">
      <c r="B26" s="10"/>
      <c r="C26" s="171">
        <v>613000</v>
      </c>
      <c r="D26" s="391"/>
      <c r="E26" s="370" t="s">
        <v>400</v>
      </c>
      <c r="F26" s="371">
        <f>F27+F28+F29+F30+F33+F34+F35+F38+F41</f>
        <v>6555910</v>
      </c>
      <c r="G26" s="371">
        <f t="shared" ref="G26:K26" si="10">G27+G28+G29+G30+G33+G34+G35+G38+G41</f>
        <v>6956227</v>
      </c>
      <c r="H26" s="371">
        <f t="shared" ref="H26" si="11">H27+H28+H29+H30+H33+H34+H35+H38+H41</f>
        <v>2864358</v>
      </c>
      <c r="I26" s="460">
        <f t="shared" si="10"/>
        <v>5884816</v>
      </c>
      <c r="J26" s="371">
        <f t="shared" si="10"/>
        <v>1141334</v>
      </c>
      <c r="K26" s="461">
        <f t="shared" si="10"/>
        <v>7026150</v>
      </c>
      <c r="L26" s="525">
        <f t="shared" si="2"/>
        <v>101.0051857134622</v>
      </c>
      <c r="O26" s="45"/>
    </row>
    <row r="27" spans="2:15" s="1" customFormat="1" ht="15" customHeight="1" x14ac:dyDescent="0.2">
      <c r="B27" s="12"/>
      <c r="C27" s="103">
        <v>613100</v>
      </c>
      <c r="D27" s="390"/>
      <c r="E27" s="61" t="s">
        <v>401</v>
      </c>
      <c r="F27" s="372">
        <f>'1'!I16+'2'!I22+'6'!I16+'3'!I16+'4'!I16+'7'!I16+'8'!I18+'9'!I16+'10'!I16+'11'!I16+'12'!I16+'13'!I16+'15'!I16+'16'!I19+'17'!I16+'18'!I16+'19'!I16+'20'!I16+'22'!I16+'23'!I16+'21'!I16+'24'!I16+'25'!I16+'26'!I16+'27'!I16+'28'!I16+'29'!I16+'30'!I16+'31'!I16+'32'!I16+'33'!I16+'34'!I16+'35'!I16+'36'!I16+'37'!I16+'5'!I16+'14'!I16</f>
        <v>151100</v>
      </c>
      <c r="G27" s="372">
        <f>'1'!J16+'2'!J22+'6'!J16+'3'!J16+'4'!J16+'7'!J16+'8'!J18+'9'!J16+'10'!J16+'11'!J16+'12'!J16+'13'!J16+'15'!J16+'16'!J19+'17'!J16+'18'!J16+'19'!J16+'20'!J16+'22'!J16+'23'!J16+'21'!J16+'24'!J16+'25'!J16+'26'!J16+'27'!J16+'28'!J16+'29'!J16+'30'!J16+'31'!J16+'32'!J16+'33'!J16+'34'!J16+'35'!J16+'36'!J16+'37'!J16+'5'!J16+'14'!J16</f>
        <v>160400</v>
      </c>
      <c r="H27" s="372">
        <f>'1'!K16+'2'!K22+'6'!K16+'3'!K16+'4'!K16+'7'!K16+'8'!K18+'9'!K16+'10'!K16+'11'!K16+'12'!K16+'13'!K16+'15'!K16+'16'!K19+'17'!K16+'18'!K16+'19'!K16+'20'!K16+'22'!K16+'23'!K16+'21'!K16+'24'!K16+'25'!K16+'26'!K16+'27'!K16+'28'!K16+'29'!K16+'30'!K16+'31'!K16+'32'!K16+'33'!K16+'34'!K16+'35'!K16+'36'!K16+'37'!K16+'5'!K16+'14'!K16</f>
        <v>64251</v>
      </c>
      <c r="I27" s="462">
        <f>'1'!L16+'2'!L22+'6'!L16+'3'!L16+'4'!L16+'7'!L16+'8'!L18+'9'!L16+'10'!L16+'11'!L16+'12'!L16+'13'!L16+'15'!L16+'16'!L19+'17'!L16+'18'!L16+'19'!L16+'20'!L16+'22'!L16+'23'!L16+'21'!L16+'24'!L16+'25'!L16+'26'!L16+'27'!L16+'28'!L16+'29'!L16+'30'!L16+'31'!L16+'32'!L16+'33'!L16+'34'!L16+'35'!L16+'36'!L16+'37'!L16+'5'!L16+'14'!L16</f>
        <v>165300</v>
      </c>
      <c r="J27" s="372">
        <f>'1'!M16+'2'!M22+'6'!M16+'3'!M16+'4'!M16+'7'!M16+'8'!M18+'9'!M16+'10'!M16+'11'!M16+'12'!M16+'13'!M16+'15'!M16+'16'!M19+'17'!M16+'18'!M16+'19'!M16+'20'!M16+'22'!M16+'23'!M16+'21'!M16+'24'!M16+'25'!M16+'26'!M16+'27'!M16+'28'!M16+'29'!M16+'30'!M16+'31'!M16+'32'!M16+'33'!M16+'34'!M16+'35'!M16+'36'!M16+'37'!M16+'5'!M16+'14'!M16</f>
        <v>0</v>
      </c>
      <c r="K27" s="463">
        <f>'1'!N16+'2'!N22+'6'!N16+'3'!N16+'4'!N16+'7'!N16+'8'!N18+'9'!N16+'10'!N16+'11'!N16+'12'!N16+'13'!N16+'15'!N16+'16'!N19+'17'!N16+'18'!N16+'19'!N16+'20'!N16+'22'!N16+'23'!N16+'21'!N16+'24'!N16+'25'!N16+'26'!N16+'27'!N16+'28'!N16+'29'!N16+'30'!N16+'31'!N16+'32'!N16+'33'!N16+'34'!N16+'35'!N16+'36'!N16+'37'!N16+'5'!N16+'14'!N16</f>
        <v>165300</v>
      </c>
      <c r="L27" s="526">
        <f t="shared" si="2"/>
        <v>103.05486284289276</v>
      </c>
      <c r="N27" s="45"/>
    </row>
    <row r="28" spans="2:15" ht="15" customHeight="1" x14ac:dyDescent="0.2">
      <c r="B28" s="10"/>
      <c r="C28" s="103">
        <v>613200</v>
      </c>
      <c r="D28" s="390"/>
      <c r="E28" s="61" t="s">
        <v>402</v>
      </c>
      <c r="F28" s="372">
        <f>'1'!I17+'2'!I23+'6'!I17+'3'!I17+'4'!I17+'7'!I17+'8'!I19+'9'!I17+'10'!I17+'11'!I17+'12'!I17+'13'!I17+'15'!I17+'16'!I20+'17'!I17+'18'!I17+'19'!I17+'20'!I17+'22'!I17+'23'!I17+'21'!I17+'24'!I17+'25'!I17+'26'!I17+'27'!I17+'28'!I17+'29'!I17+'30'!I17+'31'!I17+'32'!I17+'33'!I17+'34'!I17+'35'!I17+'36'!I17+'37'!I17+'5'!I17+'14'!I17</f>
        <v>913500</v>
      </c>
      <c r="G28" s="372">
        <f>'1'!J17+'2'!J23+'6'!J17+'3'!J17+'4'!J17+'7'!J17+'8'!J19+'9'!J17+'10'!J17+'11'!J17+'12'!J17+'13'!J17+'15'!J17+'16'!J20+'17'!J17+'18'!J17+'19'!J17+'20'!J17+'22'!J17+'23'!J17+'21'!J17+'24'!J17+'25'!J17+'26'!J17+'27'!J17+'28'!J17+'29'!J17+'30'!J17+'31'!J17+'32'!J17+'33'!J17+'34'!J17+'35'!J17+'36'!J17+'37'!J17+'5'!J17+'14'!J17</f>
        <v>911500</v>
      </c>
      <c r="H28" s="372">
        <f>'1'!K17+'2'!K23+'6'!K17+'3'!K17+'4'!K17+'7'!K17+'8'!K19+'9'!K17+'10'!K17+'11'!K17+'12'!K17+'13'!K17+'15'!K17+'16'!K20+'17'!K17+'18'!K17+'19'!K17+'20'!K17+'22'!K17+'23'!K17+'21'!K17+'24'!K17+'25'!K17+'26'!K17+'27'!K17+'28'!K17+'29'!K17+'30'!K17+'31'!K17+'32'!K17+'33'!K17+'34'!K17+'35'!K17+'36'!K17+'37'!K17+'5'!K17+'14'!K17</f>
        <v>276058</v>
      </c>
      <c r="I28" s="462">
        <f>'1'!L17+'2'!L23+'6'!L17+'3'!L17+'4'!L17+'7'!L17+'8'!L19+'9'!L17+'10'!L17+'11'!L17+'12'!L17+'13'!L17+'15'!L17+'16'!L20+'17'!L17+'18'!L17+'19'!L17+'20'!L17+'22'!L17+'23'!L17+'21'!L17+'24'!L17+'25'!L17+'26'!L17+'27'!L17+'28'!L17+'29'!L17+'30'!L17+'31'!L17+'32'!L17+'33'!L17+'34'!L17+'35'!L17+'36'!L17+'37'!L17+'5'!L17+'14'!L17</f>
        <v>826000</v>
      </c>
      <c r="J28" s="372">
        <f>'1'!M17+'2'!M23+'6'!M17+'3'!M17+'4'!M17+'7'!M17+'8'!M19+'9'!M17+'10'!M17+'11'!M17+'12'!M17+'13'!M17+'15'!M17+'16'!M20+'17'!M17+'18'!M17+'19'!M17+'20'!M17+'22'!M17+'23'!M17+'21'!M17+'24'!M17+'25'!M17+'26'!M17+'27'!M17+'28'!M17+'29'!M17+'30'!M17+'31'!M17+'32'!M17+'33'!M17+'34'!M17+'35'!M17+'36'!M17+'37'!M17+'5'!M17+'14'!M17</f>
        <v>0</v>
      </c>
      <c r="K28" s="463">
        <f>'1'!N17+'2'!N23+'6'!N17+'3'!N17+'4'!N17+'7'!N17+'8'!N19+'9'!N17+'10'!N17+'11'!N17+'12'!N17+'13'!N17+'15'!N17+'16'!N20+'17'!N17+'18'!N17+'19'!N17+'20'!N17+'22'!N17+'23'!N17+'21'!N17+'24'!N17+'25'!N17+'26'!N17+'27'!N17+'28'!N17+'29'!N17+'30'!N17+'31'!N17+'32'!N17+'33'!N17+'34'!N17+'35'!N17+'36'!N17+'37'!N17+'5'!N17+'14'!N17</f>
        <v>826000</v>
      </c>
      <c r="L28" s="526">
        <f t="shared" si="2"/>
        <v>90.619857377948435</v>
      </c>
      <c r="N28" s="46"/>
    </row>
    <row r="29" spans="2:15" ht="15" customHeight="1" x14ac:dyDescent="0.2">
      <c r="B29" s="10"/>
      <c r="C29" s="103">
        <v>613300</v>
      </c>
      <c r="D29" s="129"/>
      <c r="E29" s="61" t="s">
        <v>403</v>
      </c>
      <c r="F29" s="372">
        <f>'1'!I18+'2'!I24+'6'!I18+'3'!I18+'4'!I18+'7'!I18+'8'!I20+'9'!I18+'10'!I18+'11'!I18+'12'!I18+'13'!I18+'15'!I18+'16'!I21+'17'!I18+'18'!I18+'19'!I18+'20'!I18+'22'!I18+'23'!I18+'21'!I18+'24'!I18+'25'!I18+'26'!I18+'27'!I18+'28'!I18+'29'!I18+'30'!I18+'31'!I18+'32'!I18+'33'!I18+'34'!I18+'35'!I18+'36'!I18+'37'!I18+'5'!I18+'14'!I18</f>
        <v>417750</v>
      </c>
      <c r="G29" s="372">
        <f>'1'!J18+'2'!J24+'6'!J18+'3'!J18+'4'!J18+'7'!J18+'8'!J20+'9'!J18+'10'!J18+'11'!J18+'12'!J18+'13'!J18+'15'!J18+'16'!J21+'17'!J18+'18'!J18+'19'!J18+'20'!J18+'22'!J18+'23'!J18+'21'!J18+'24'!J18+'25'!J18+'26'!J18+'27'!J18+'28'!J18+'29'!J18+'30'!J18+'31'!J18+'32'!J18+'33'!J18+'34'!J18+'35'!J18+'36'!J18+'37'!J18+'5'!J18+'14'!J18</f>
        <v>416950</v>
      </c>
      <c r="H29" s="372">
        <f>'1'!K18+'2'!K24+'6'!K18+'3'!K18+'4'!K18+'7'!K18+'8'!K20+'9'!K18+'10'!K18+'11'!K18+'12'!K18+'13'!K18+'15'!K18+'16'!K21+'17'!K18+'18'!K18+'19'!K18+'20'!K18+'22'!K18+'23'!K18+'21'!K18+'24'!K18+'25'!K18+'26'!K18+'27'!K18+'28'!K18+'29'!K18+'30'!K18+'31'!K18+'32'!K18+'33'!K18+'34'!K18+'35'!K18+'36'!K18+'37'!K18+'5'!K18+'14'!K18</f>
        <v>190713</v>
      </c>
      <c r="I29" s="462">
        <f>'1'!L18+'2'!L24+'6'!L18+'3'!L18+'4'!L18+'7'!L18+'8'!L20+'9'!L18+'10'!L18+'11'!L18+'12'!L18+'13'!L18+'15'!L18+'16'!L21+'17'!L18+'18'!L18+'19'!L18+'20'!L18+'22'!L18+'23'!L18+'21'!L18+'24'!L18+'25'!L18+'26'!L18+'27'!L18+'28'!L18+'29'!L18+'30'!L18+'31'!L18+'32'!L18+'33'!L18+'34'!L18+'35'!L18+'36'!L18+'37'!L18+'5'!L18+'14'!L18</f>
        <v>420200</v>
      </c>
      <c r="J29" s="372">
        <f>'1'!M18+'2'!M24+'6'!M18+'3'!M18+'4'!M18+'7'!M18+'8'!M20+'9'!M18+'10'!M18+'11'!M18+'12'!M18+'13'!M18+'15'!M18+'16'!M21+'17'!M18+'18'!M18+'19'!M18+'20'!M18+'22'!M18+'23'!M18+'21'!M18+'24'!M18+'25'!M18+'26'!M18+'27'!M18+'28'!M18+'29'!M18+'30'!M18+'31'!M18+'32'!M18+'33'!M18+'34'!M18+'35'!M18+'36'!M18+'37'!M18+'5'!M18+'14'!M18</f>
        <v>0</v>
      </c>
      <c r="K29" s="463">
        <f>'1'!N18+'2'!N24+'6'!N18+'3'!N18+'4'!N18+'7'!N18+'8'!N20+'9'!N18+'10'!N18+'11'!N18+'12'!N18+'13'!N18+'15'!N18+'16'!N21+'17'!N18+'18'!N18+'19'!N18+'20'!N18+'22'!N18+'23'!N18+'21'!N18+'24'!N18+'25'!N18+'26'!N18+'27'!N18+'28'!N18+'29'!N18+'30'!N18+'31'!N18+'32'!N18+'33'!N18+'34'!N18+'35'!N18+'36'!N18+'37'!N18+'5'!N18+'14'!N18</f>
        <v>420200</v>
      </c>
      <c r="L29" s="526">
        <f t="shared" si="2"/>
        <v>100.77946996042691</v>
      </c>
      <c r="N29" s="46"/>
    </row>
    <row r="30" spans="2:15" ht="15" customHeight="1" x14ac:dyDescent="0.2">
      <c r="B30" s="10"/>
      <c r="C30" s="103">
        <v>613400</v>
      </c>
      <c r="D30" s="129"/>
      <c r="E30" s="61" t="s">
        <v>404</v>
      </c>
      <c r="F30" s="372">
        <f>F31+F32</f>
        <v>1329980</v>
      </c>
      <c r="G30" s="372">
        <f t="shared" ref="G30:K30" si="12">G31+G32</f>
        <v>1662264</v>
      </c>
      <c r="H30" s="372">
        <f t="shared" ref="H30" si="13">H31+H32</f>
        <v>633823</v>
      </c>
      <c r="I30" s="462">
        <f t="shared" si="12"/>
        <v>1332390</v>
      </c>
      <c r="J30" s="372">
        <f t="shared" si="12"/>
        <v>331720</v>
      </c>
      <c r="K30" s="463">
        <f t="shared" si="12"/>
        <v>1664110</v>
      </c>
      <c r="L30" s="526">
        <f t="shared" si="2"/>
        <v>100.11105335855194</v>
      </c>
      <c r="N30" s="46"/>
    </row>
    <row r="31" spans="2:15" ht="14.25" customHeight="1" x14ac:dyDescent="0.2">
      <c r="B31" s="10"/>
      <c r="C31" s="104">
        <v>613400</v>
      </c>
      <c r="D31" s="344"/>
      <c r="E31" s="373" t="s">
        <v>405</v>
      </c>
      <c r="F31" s="348">
        <f>'1'!I19+'2'!I25+'6'!I19+'3'!I19+'4'!I19+'7'!I19+'8'!I21+'9'!I19+'10'!I19+'11'!I19+'12'!I19+'13'!I19+'15'!I19+'16'!I22+'17'!I19+'18'!I19+'19'!I19+'20'!I19+'22'!I19+'23'!I19+'21'!I19+'24'!I19+'25'!I19+'26'!I19+'27'!I19+'28'!I19+'29'!I19+'30'!I19+'31'!I19+'32'!I19+'33'!I19+'34'!I19+'35'!I19+'36'!I19+'37'!I19+'5'!I19+'14'!I19</f>
        <v>610200</v>
      </c>
      <c r="G31" s="348">
        <f>'1'!J19+'2'!J25+'6'!J19+'3'!J19+'4'!J19+'7'!J19+'8'!J21+'9'!J19+'10'!J19+'11'!J19+'12'!J19+'13'!J19+'15'!J19+'16'!J22+'17'!J19+'18'!J19+'19'!J19+'20'!J19+'22'!J19+'23'!J19+'21'!J19+'24'!J19+'25'!J19+'26'!J19+'27'!J19+'28'!J19+'29'!J19+'30'!J19+'31'!J19+'32'!J19+'33'!J19+'34'!J19+'35'!J19+'36'!J19+'37'!J19+'5'!J19+'14'!J19</f>
        <v>942484</v>
      </c>
      <c r="H31" s="348">
        <f>'1'!K19+'2'!K25+'6'!K19+'3'!K19+'4'!K19+'7'!K19+'8'!K21+'9'!K19+'10'!K19+'11'!K19+'12'!K19+'13'!K19+'15'!K19+'16'!K22+'17'!K19+'18'!K19+'19'!K19+'20'!K19+'22'!K19+'23'!K19+'21'!K19+'24'!K19+'25'!K19+'26'!K19+'27'!K19+'28'!K19+'29'!K19+'30'!K19+'31'!K19+'32'!K19+'33'!K19+'34'!K19+'35'!K19+'36'!K19+'37'!K19+'5'!K19+'14'!K19</f>
        <v>236220</v>
      </c>
      <c r="I31" s="464">
        <f>'1'!L19+'2'!L25+'6'!L19+'3'!L19+'4'!L19+'7'!L19+'8'!L21+'9'!L19+'10'!L19+'11'!L19+'12'!L19+'13'!L19+'15'!L19+'16'!L22+'17'!L19+'18'!L19+'19'!L19+'20'!L19+'22'!L19+'23'!L19+'21'!L19+'24'!L19+'25'!L19+'26'!L19+'27'!L19+'28'!L19+'29'!L19+'30'!L19+'31'!L19+'32'!L19+'33'!L19+'34'!L19+'35'!L19+'36'!L19+'37'!L19+'5'!L19+'14'!L19</f>
        <v>607900</v>
      </c>
      <c r="J31" s="348">
        <f>'1'!M19+'2'!M25+'6'!M19+'3'!M19+'4'!M19+'7'!M19+'8'!M21+'9'!M19+'10'!M19+'11'!M19+'12'!M19+'13'!M19+'15'!M19+'16'!M22+'17'!M19+'18'!M19+'19'!M19+'20'!M19+'22'!M19+'23'!M19+'21'!M19+'24'!M19+'25'!M19+'26'!M19+'27'!M19+'28'!M19+'29'!M19+'30'!M19+'31'!M19+'32'!M19+'33'!M19+'34'!M19+'35'!M19+'36'!M19+'37'!M19+'5'!M19+'14'!M19</f>
        <v>331720</v>
      </c>
      <c r="K31" s="465">
        <f>'1'!N19+'2'!N25+'6'!N19+'3'!N19+'4'!N19+'7'!N19+'8'!N21+'9'!N19+'10'!N19+'11'!N19+'12'!N19+'13'!N19+'15'!N19+'16'!N22+'17'!N19+'18'!N19+'19'!N19+'20'!N19+'22'!N19+'23'!N19+'21'!N19+'24'!N19+'25'!N19+'26'!N19+'27'!N19+'28'!N19+'29'!N19+'30'!N19+'31'!N19+'32'!N19+'33'!N19+'34'!N19+'35'!N19+'36'!N19+'37'!N19+'5'!N19+'14'!N19</f>
        <v>939620</v>
      </c>
      <c r="L31" s="527">
        <f t="shared" si="2"/>
        <v>99.696122162286045</v>
      </c>
      <c r="N31" s="46"/>
    </row>
    <row r="32" spans="2:15" ht="15.75" customHeight="1" x14ac:dyDescent="0.2">
      <c r="B32" s="10"/>
      <c r="C32" s="345">
        <v>613400</v>
      </c>
      <c r="D32" s="347" t="s">
        <v>406</v>
      </c>
      <c r="E32" s="374" t="s">
        <v>407</v>
      </c>
      <c r="F32" s="348">
        <f>'20'!I20</f>
        <v>719780</v>
      </c>
      <c r="G32" s="348">
        <f>'20'!J20</f>
        <v>719780</v>
      </c>
      <c r="H32" s="348">
        <f>'20'!K20</f>
        <v>397603</v>
      </c>
      <c r="I32" s="464">
        <f>'20'!L20</f>
        <v>724490</v>
      </c>
      <c r="J32" s="348">
        <f>'20'!M20</f>
        <v>0</v>
      </c>
      <c r="K32" s="465">
        <f>'20'!N20</f>
        <v>724490</v>
      </c>
      <c r="L32" s="527">
        <f t="shared" si="2"/>
        <v>100.65436661202034</v>
      </c>
      <c r="N32" s="46"/>
    </row>
    <row r="33" spans="2:14" ht="15" customHeight="1" x14ac:dyDescent="0.2">
      <c r="B33" s="10"/>
      <c r="C33" s="103">
        <v>613500</v>
      </c>
      <c r="D33" s="129"/>
      <c r="E33" s="61" t="s">
        <v>408</v>
      </c>
      <c r="F33" s="372">
        <f>'1'!I20+'2'!I26+'6'!I20+'3'!I20+'4'!I20+'7'!I20+'8'!I22+'9'!I20+'10'!I20+'11'!I20+'12'!I20+'13'!I20+'15'!I20+'16'!I23+'17'!I20+'18'!I20+'19'!I20+'20'!I21+'22'!I20+'23'!I20+'21'!I20+'24'!I20+'25'!I20+'26'!I20+'27'!I20+'28'!I20+'29'!I20+'30'!I20+'31'!I20+'32'!I20+'33'!I20+'34'!I20+'35'!I20+'36'!I20+'37'!I20+'5'!I20+'14'!I20</f>
        <v>272700</v>
      </c>
      <c r="G33" s="372">
        <f>'1'!J20+'2'!J26+'6'!J20+'3'!J20+'4'!J20+'7'!J20+'8'!J22+'9'!J20+'10'!J20+'11'!J20+'12'!J20+'13'!J20+'15'!J20+'16'!J23+'17'!J20+'18'!J20+'19'!J20+'20'!J21+'22'!J20+'23'!J20+'21'!J20+'24'!J20+'25'!J20+'26'!J20+'27'!J20+'28'!J20+'29'!J20+'30'!J20+'31'!J20+'32'!J20+'33'!J20+'34'!J20+'35'!J20+'36'!J20+'37'!J20+'5'!J20+'14'!J20</f>
        <v>275700</v>
      </c>
      <c r="H33" s="372">
        <f>'1'!K20+'2'!K26+'6'!K20+'3'!K20+'4'!K20+'7'!K20+'8'!K22+'9'!K20+'10'!K20+'11'!K20+'12'!K20+'13'!K20+'15'!K20+'16'!K23+'17'!K20+'18'!K20+'19'!K20+'20'!K21+'22'!K20+'23'!K20+'21'!K20+'24'!K20+'25'!K20+'26'!K20+'27'!K20+'28'!K20+'29'!K20+'30'!K20+'31'!K20+'32'!K20+'33'!K20+'34'!K20+'35'!K20+'36'!K20+'37'!K20+'5'!K20+'14'!K20</f>
        <v>137566</v>
      </c>
      <c r="I33" s="462">
        <f>'1'!L20+'2'!L26+'6'!L20+'3'!L20+'4'!L20+'7'!L20+'8'!L22+'9'!L20+'10'!L20+'11'!L20+'12'!L20+'13'!L20+'15'!L20+'16'!L23+'17'!L20+'18'!L20+'19'!L20+'20'!L21+'22'!L20+'23'!L20+'21'!L20+'24'!L20+'25'!L20+'26'!L20+'27'!L20+'28'!L20+'29'!L20+'30'!L20+'31'!L20+'32'!L20+'33'!L20+'34'!L20+'35'!L20+'36'!L20+'37'!L20+'5'!L20+'14'!L20</f>
        <v>302900</v>
      </c>
      <c r="J33" s="372">
        <f>'1'!M20+'2'!M26+'6'!M20+'3'!M20+'4'!M20+'7'!M20+'8'!M22+'9'!M20+'10'!M20+'11'!M20+'12'!M20+'13'!M20+'15'!M20+'16'!M23+'17'!M20+'18'!M20+'19'!M20+'20'!M21+'22'!M20+'23'!M20+'21'!M20+'24'!M20+'25'!M20+'26'!M20+'27'!M20+'28'!M20+'29'!M20+'30'!M20+'31'!M20+'32'!M20+'33'!M20+'34'!M20+'35'!M20+'36'!M20+'37'!M20+'5'!M20+'14'!M20</f>
        <v>0</v>
      </c>
      <c r="K33" s="463">
        <f>'1'!N20+'2'!N26+'6'!N20+'3'!N20+'4'!N20+'7'!N20+'8'!N22+'9'!N20+'10'!N20+'11'!N20+'12'!N20+'13'!N20+'15'!N20+'16'!N23+'17'!N20+'18'!N20+'19'!N20+'20'!N21+'22'!N20+'23'!N20+'21'!N20+'24'!N20+'25'!N20+'26'!N20+'27'!N20+'28'!N20+'29'!N20+'30'!N20+'31'!N20+'32'!N20+'33'!N20+'34'!N20+'35'!N20+'36'!N20+'37'!N20+'5'!N20+'14'!N20</f>
        <v>302900</v>
      </c>
      <c r="L33" s="526">
        <f t="shared" si="2"/>
        <v>109.86579615524121</v>
      </c>
      <c r="N33" s="46"/>
    </row>
    <row r="34" spans="2:14" ht="15" customHeight="1" x14ac:dyDescent="0.2">
      <c r="B34" s="10"/>
      <c r="C34" s="103">
        <v>613600</v>
      </c>
      <c r="D34" s="129"/>
      <c r="E34" s="61" t="s">
        <v>409</v>
      </c>
      <c r="F34" s="372">
        <f>'1'!I21+'2'!I27+'6'!I21+'3'!I21+'4'!I21+'7'!I21+'8'!I23+'9'!I21+'10'!I21+'11'!I21+'12'!I21+'13'!I21+'15'!I21+'16'!I24+'17'!I21+'18'!I21+'19'!I21+'20'!I22+'22'!I21+'23'!I21+'21'!I21+'24'!I21+'25'!I21+'26'!I21+'27'!I21+'28'!I21+'29'!I21+'30'!I21+'31'!I21+'32'!I21+'33'!I21+'34'!I21+'35'!I21+'36'!I21+'37'!I21+'5'!I21+'14'!I21</f>
        <v>3100</v>
      </c>
      <c r="G34" s="372">
        <f>'1'!J21+'2'!J27+'6'!J21+'3'!J21+'4'!J21+'7'!J21+'8'!J23+'9'!J21+'10'!J21+'11'!J21+'12'!J21+'13'!J21+'15'!J21+'16'!J24+'17'!J21+'18'!J21+'19'!J21+'20'!J22+'22'!J21+'23'!J21+'21'!J21+'24'!J21+'25'!J21+'26'!J21+'27'!J21+'28'!J21+'29'!J21+'30'!J21+'31'!J21+'32'!J21+'33'!J21+'34'!J21+'35'!J21+'36'!J21+'37'!J21+'5'!J21+'14'!J21</f>
        <v>3100</v>
      </c>
      <c r="H34" s="372">
        <f>'1'!K21+'2'!K27+'6'!K21+'3'!K21+'4'!K21+'7'!K21+'8'!K23+'9'!K21+'10'!K21+'11'!K21+'12'!K21+'13'!K21+'15'!K21+'16'!K24+'17'!K21+'18'!K21+'19'!K21+'20'!K22+'22'!K21+'23'!K21+'21'!K21+'24'!K21+'25'!K21+'26'!K21+'27'!K21+'28'!K21+'29'!K21+'30'!K21+'31'!K21+'32'!K21+'33'!K21+'34'!K21+'35'!K21+'36'!K21+'37'!K21+'5'!K21+'14'!K21</f>
        <v>1251</v>
      </c>
      <c r="I34" s="462">
        <f>'1'!L21+'2'!L27+'6'!L21+'3'!L21+'4'!L21+'7'!L21+'8'!L23+'9'!L21+'10'!L21+'11'!L21+'12'!L21+'13'!L21+'15'!L21+'16'!L24+'17'!L21+'18'!L21+'19'!L21+'20'!L22+'22'!L21+'23'!L21+'21'!L21+'24'!L21+'25'!L21+'26'!L21+'27'!L21+'28'!L21+'29'!L21+'30'!L21+'31'!L21+'32'!L21+'33'!L21+'34'!L21+'35'!L21+'36'!L21+'37'!L21+'5'!L21+'14'!L21</f>
        <v>2100</v>
      </c>
      <c r="J34" s="372">
        <f>'1'!M21+'2'!M27+'6'!M21+'3'!M21+'4'!M21+'7'!M21+'8'!M23+'9'!M21+'10'!M21+'11'!M21+'12'!M21+'13'!M21+'15'!M21+'16'!M24+'17'!M21+'18'!M21+'19'!M21+'20'!M22+'22'!M21+'23'!M21+'21'!M21+'24'!M21+'25'!M21+'26'!M21+'27'!M21+'28'!M21+'29'!M21+'30'!M21+'31'!M21+'32'!M21+'33'!M21+'34'!M21+'35'!M21+'36'!M21+'37'!M21+'5'!M21+'14'!M21</f>
        <v>0</v>
      </c>
      <c r="K34" s="463">
        <f>'1'!N21+'2'!N27+'6'!N21+'3'!N21+'4'!N21+'7'!N21+'8'!N23+'9'!N21+'10'!N21+'11'!N21+'12'!N21+'13'!N21+'15'!N21+'16'!N24+'17'!N21+'18'!N21+'19'!N21+'20'!N22+'22'!N21+'23'!N21+'21'!N21+'24'!N21+'25'!N21+'26'!N21+'27'!N21+'28'!N21+'29'!N21+'30'!N21+'31'!N21+'32'!N21+'33'!N21+'34'!N21+'35'!N21+'36'!N21+'37'!N21+'5'!N21+'14'!N21</f>
        <v>2100</v>
      </c>
      <c r="L34" s="526">
        <f t="shared" si="2"/>
        <v>67.741935483870961</v>
      </c>
      <c r="N34" s="46"/>
    </row>
    <row r="35" spans="2:14" ht="15" customHeight="1" x14ac:dyDescent="0.2">
      <c r="B35" s="10"/>
      <c r="C35" s="103">
        <v>613700</v>
      </c>
      <c r="D35" s="129"/>
      <c r="E35" s="61" t="s">
        <v>410</v>
      </c>
      <c r="F35" s="372">
        <f>F36+F37</f>
        <v>1166700</v>
      </c>
      <c r="G35" s="372">
        <f t="shared" ref="G35:K35" si="14">G36+G37</f>
        <v>1152900</v>
      </c>
      <c r="H35" s="372">
        <f t="shared" ref="H35" si="15">H36+H37</f>
        <v>534208</v>
      </c>
      <c r="I35" s="462">
        <f t="shared" si="14"/>
        <v>430500</v>
      </c>
      <c r="J35" s="372">
        <f t="shared" si="14"/>
        <v>760000</v>
      </c>
      <c r="K35" s="463">
        <f t="shared" si="14"/>
        <v>1190500</v>
      </c>
      <c r="L35" s="526">
        <f t="shared" si="2"/>
        <v>103.26134096625901</v>
      </c>
      <c r="N35" s="46"/>
    </row>
    <row r="36" spans="2:14" ht="15" customHeight="1" x14ac:dyDescent="0.2">
      <c r="B36" s="10"/>
      <c r="C36" s="104">
        <v>613700</v>
      </c>
      <c r="D36" s="130"/>
      <c r="E36" s="373" t="s">
        <v>411</v>
      </c>
      <c r="F36" s="348">
        <f>'1'!I22+'2'!I28+'6'!I22+'3'!I22+'4'!I22+'7'!I22+'8'!I24+'9'!I22+'10'!I22+'11'!I22+'12'!I22+'13'!I22+'15'!I22+'16'!I25+'17'!I22+'18'!I22+'19'!I22+'20'!I23+'22'!I22+'23'!I22+'21'!I22+'24'!I22+'25'!I22+'26'!I22+'27'!I22+'28'!I22+'29'!I22+'30'!I22+'31'!I22+'32'!I22+'33'!I22+'34'!I22+'35'!I22+'36'!I22+'37'!I22+'5'!I22+'14'!I22</f>
        <v>406700</v>
      </c>
      <c r="G36" s="348">
        <f>'1'!J22+'2'!J28+'6'!J22+'3'!J22+'4'!J22+'7'!J22+'8'!J24+'9'!J22+'10'!J22+'11'!J22+'12'!J22+'13'!J22+'15'!J22+'16'!J25+'17'!J22+'18'!J22+'19'!J22+'20'!J23+'22'!J22+'23'!J22+'21'!J22+'24'!J22+'25'!J22+'26'!J22+'27'!J22+'28'!J22+'29'!J22+'30'!J22+'31'!J22+'32'!J22+'33'!J22+'34'!J22+'35'!J22+'36'!J22+'37'!J22+'5'!J22+'14'!J22</f>
        <v>402900</v>
      </c>
      <c r="H36" s="348">
        <f>'1'!K22+'2'!K28+'6'!K22+'3'!K22+'4'!K22+'7'!K22+'8'!K24+'9'!K22+'10'!K22+'11'!K22+'12'!K22+'13'!K22+'15'!K22+'16'!K25+'17'!K22+'18'!K22+'19'!K22+'20'!K23+'22'!K22+'23'!K22+'21'!K22+'24'!K22+'25'!K22+'26'!K22+'27'!K22+'28'!K22+'29'!K22+'30'!K22+'31'!K22+'32'!K22+'33'!K22+'34'!K22+'35'!K22+'36'!K22+'37'!K22+'5'!K22+'14'!K22</f>
        <v>159883</v>
      </c>
      <c r="I36" s="464">
        <f>'1'!L22+'2'!L28+'6'!L22+'3'!L22+'4'!L22+'7'!L22+'8'!L24+'9'!L22+'10'!L22+'11'!L22+'12'!L22+'13'!L22+'15'!L22+'16'!L25+'17'!L22+'18'!L22+'19'!L22+'20'!L23+'22'!L22+'23'!L22+'21'!L22+'24'!L22+'25'!L22+'26'!L22+'27'!L22+'28'!L22+'29'!L22+'30'!L22+'31'!L22+'32'!L22+'33'!L22+'34'!L22+'35'!L22+'36'!L22+'37'!L22+'5'!L22+'14'!L22</f>
        <v>430500</v>
      </c>
      <c r="J36" s="348">
        <f>'1'!M22+'2'!M28+'6'!M22+'3'!M22+'4'!M22+'7'!M22+'8'!M24+'9'!M22+'10'!M22+'11'!M22+'12'!M22+'13'!M22+'15'!M22+'16'!M25+'17'!M22+'18'!M22+'19'!M22+'20'!M23+'22'!M22+'23'!M22+'21'!M22+'24'!M22+'25'!M22+'26'!M22+'27'!M22+'28'!M22+'29'!M22+'30'!M22+'31'!M22+'32'!M22+'33'!M22+'34'!M22+'35'!M22+'36'!M22+'37'!M22+'5'!M22+'14'!M22</f>
        <v>0</v>
      </c>
      <c r="K36" s="466">
        <f>'1'!N22+'2'!N28+'6'!N22+'3'!N22+'4'!N22+'7'!N22+'8'!N24+'9'!N22+'10'!N22+'11'!N22+'12'!N22+'13'!N22+'15'!N22+'16'!N25+'17'!N22+'18'!N22+'19'!N22+'20'!N23+'22'!N22+'23'!N22+'21'!N22+'24'!N22+'25'!N22+'26'!N22+'27'!N22+'28'!N22+'29'!N22+'30'!N22+'31'!N22+'32'!N22+'33'!N22+'34'!N22+'35'!N22+'36'!N22+'37'!N22+'5'!N22+'14'!N22</f>
        <v>430500</v>
      </c>
      <c r="L36" s="527">
        <f t="shared" si="2"/>
        <v>106.85033507073716</v>
      </c>
      <c r="N36" s="46"/>
    </row>
    <row r="37" spans="2:14" ht="15" customHeight="1" x14ac:dyDescent="0.2">
      <c r="B37" s="10"/>
      <c r="C37" s="104">
        <v>613700</v>
      </c>
      <c r="D37" s="130" t="s">
        <v>412</v>
      </c>
      <c r="E37" s="373" t="s">
        <v>413</v>
      </c>
      <c r="F37" s="348">
        <f>'18'!I23</f>
        <v>760000</v>
      </c>
      <c r="G37" s="348">
        <f>'18'!J23</f>
        <v>750000</v>
      </c>
      <c r="H37" s="348">
        <f>'18'!K23</f>
        <v>374325</v>
      </c>
      <c r="I37" s="464">
        <f>'18'!L23</f>
        <v>0</v>
      </c>
      <c r="J37" s="348">
        <f>'18'!M23</f>
        <v>760000</v>
      </c>
      <c r="K37" s="466">
        <f>'18'!N23</f>
        <v>760000</v>
      </c>
      <c r="L37" s="527">
        <f t="shared" si="2"/>
        <v>101.33333333333334</v>
      </c>
      <c r="N37" s="46"/>
    </row>
    <row r="38" spans="2:14" ht="15" customHeight="1" x14ac:dyDescent="0.2">
      <c r="B38" s="10"/>
      <c r="C38" s="103">
        <v>613800</v>
      </c>
      <c r="D38" s="129"/>
      <c r="E38" s="61" t="s">
        <v>414</v>
      </c>
      <c r="F38" s="372">
        <f>F39+F40</f>
        <v>94510</v>
      </c>
      <c r="G38" s="372">
        <f t="shared" ref="G38:K38" si="16">G39+G40</f>
        <v>97810</v>
      </c>
      <c r="H38" s="372">
        <f t="shared" ref="H38" si="17">H39+H40</f>
        <v>43289</v>
      </c>
      <c r="I38" s="462">
        <f t="shared" si="16"/>
        <v>92910</v>
      </c>
      <c r="J38" s="372">
        <f t="shared" si="16"/>
        <v>0</v>
      </c>
      <c r="K38" s="463">
        <f t="shared" si="16"/>
        <v>92910</v>
      </c>
      <c r="L38" s="526">
        <f t="shared" si="2"/>
        <v>94.990287291687963</v>
      </c>
      <c r="N38" s="46"/>
    </row>
    <row r="39" spans="2:14" ht="15" customHeight="1" x14ac:dyDescent="0.2">
      <c r="B39" s="10"/>
      <c r="C39" s="104">
        <v>613800</v>
      </c>
      <c r="D39" s="130"/>
      <c r="E39" s="373" t="s">
        <v>415</v>
      </c>
      <c r="F39" s="348">
        <f>'1'!I23+'2'!I29+'6'!I23+'3'!I23+'4'!I23+'7'!I23+'8'!I25+'9'!I23+'10'!I23+'11'!I23+'12'!I23+'13'!I23+'15'!I23+'16'!I26+'17'!I23+'18'!I24+'19'!I23+'20'!I24+'22'!I23+'23'!I23+'21'!I23+'24'!I23+'25'!I23+'26'!I23+'27'!I23+'28'!I23+'29'!I23+'30'!I23+'31'!I23+'32'!I23+'33'!I23+'34'!I23+'35'!I23+'36'!I23+'37'!I23+'5'!I23+'14'!I23</f>
        <v>94510</v>
      </c>
      <c r="G39" s="348">
        <f>'1'!J23+'2'!J29+'6'!J23+'3'!J23+'4'!J23+'7'!J23+'8'!J25+'9'!J23+'10'!J23+'11'!J23+'12'!J23+'13'!J23+'15'!J23+'16'!J26+'17'!J23+'18'!J24+'19'!J23+'20'!J24+'22'!J23+'23'!J23+'21'!J23+'24'!J23+'25'!J23+'26'!J23+'27'!J23+'28'!J23+'29'!J23+'30'!J23+'31'!J23+'32'!J23+'33'!J23+'34'!J23+'35'!J23+'36'!J23+'37'!J23+'5'!J23+'14'!J23</f>
        <v>97810</v>
      </c>
      <c r="H39" s="348">
        <f>'1'!K23+'2'!K29+'6'!K23+'3'!K23+'4'!K23+'7'!K23+'8'!K25+'9'!K23+'10'!K23+'11'!K23+'12'!K23+'13'!K23+'15'!K23+'16'!K26+'17'!K23+'18'!K24+'19'!K23+'20'!K24+'22'!K23+'23'!K23+'21'!K23+'24'!K23+'25'!K23+'26'!K23+'27'!K23+'28'!K23+'29'!K23+'30'!K23+'31'!K23+'32'!K23+'33'!K23+'34'!K23+'35'!K23+'36'!K23+'37'!K23+'5'!K23+'14'!K23</f>
        <v>43289</v>
      </c>
      <c r="I39" s="464">
        <f>'1'!L23+'2'!L29+'6'!L23+'3'!L23+'4'!L23+'7'!L23+'8'!L25+'9'!L23+'10'!L23+'11'!L23+'12'!L23+'13'!L23+'15'!L23+'16'!L26+'17'!L23+'18'!L24+'19'!L23+'20'!L24+'22'!L23+'23'!L23+'21'!L23+'24'!L23+'25'!L23+'26'!L23+'27'!L23+'28'!L23+'29'!L23+'30'!L23+'31'!L23+'32'!L23+'33'!L23+'34'!L23+'35'!L23+'36'!L23+'37'!L23+'5'!L23+'14'!L23</f>
        <v>92910</v>
      </c>
      <c r="J39" s="348">
        <f>'1'!M23+'2'!M29+'6'!M23+'3'!M23+'4'!M23+'7'!M23+'8'!M25+'9'!M23+'10'!M23+'11'!M23+'12'!M23+'13'!M23+'15'!M23+'16'!M26+'17'!M23+'18'!M24+'19'!M23+'20'!M24+'22'!M23+'23'!M23+'21'!M23+'24'!M23+'25'!M23+'26'!M23+'27'!M23+'28'!M23+'29'!M23+'30'!M23+'31'!M23+'32'!M23+'33'!M23+'34'!M23+'35'!M23+'36'!M23+'37'!M23+'5'!M23+'14'!M23</f>
        <v>0</v>
      </c>
      <c r="K39" s="466">
        <f>'1'!N23+'2'!N29+'6'!N23+'3'!N23+'4'!N23+'7'!N23+'8'!N25+'9'!N23+'10'!N23+'11'!N23+'12'!N23+'13'!N23+'15'!N23+'16'!N26+'17'!N23+'18'!N24+'19'!N23+'20'!N24+'22'!N23+'23'!N23+'21'!N23+'24'!N23+'25'!N23+'26'!N23+'27'!N23+'28'!N23+'29'!N23+'30'!N23+'31'!N23+'32'!N23+'33'!N23+'34'!N23+'35'!N23+'36'!N23+'37'!N23+'5'!N23+'14'!N23</f>
        <v>92910</v>
      </c>
      <c r="L39" s="527">
        <f t="shared" si="2"/>
        <v>94.990287291687963</v>
      </c>
      <c r="N39" s="46"/>
    </row>
    <row r="40" spans="2:14" ht="15" customHeight="1" x14ac:dyDescent="0.2">
      <c r="B40" s="10"/>
      <c r="C40" s="104">
        <v>613800</v>
      </c>
      <c r="D40" s="130"/>
      <c r="E40" s="373" t="s">
        <v>416</v>
      </c>
      <c r="F40" s="348">
        <f>'20'!I25</f>
        <v>0</v>
      </c>
      <c r="G40" s="348">
        <f>'20'!J25</f>
        <v>0</v>
      </c>
      <c r="H40" s="348">
        <f>'20'!K25</f>
        <v>0</v>
      </c>
      <c r="I40" s="464">
        <f>'20'!L25</f>
        <v>0</v>
      </c>
      <c r="J40" s="348">
        <f>'20'!M25</f>
        <v>0</v>
      </c>
      <c r="K40" s="466">
        <f>'20'!N25</f>
        <v>0</v>
      </c>
      <c r="L40" s="527" t="str">
        <f t="shared" si="2"/>
        <v/>
      </c>
      <c r="N40" s="46"/>
    </row>
    <row r="41" spans="2:14" ht="15" customHeight="1" x14ac:dyDescent="0.2">
      <c r="B41" s="10"/>
      <c r="C41" s="103">
        <v>613900</v>
      </c>
      <c r="D41" s="129"/>
      <c r="E41" s="61" t="s">
        <v>417</v>
      </c>
      <c r="F41" s="375">
        <f>SUM(F42:F50)</f>
        <v>2206570</v>
      </c>
      <c r="G41" s="375">
        <f t="shared" ref="G41:K41" si="18">SUM(G42:G50)</f>
        <v>2275603</v>
      </c>
      <c r="H41" s="375">
        <f t="shared" si="18"/>
        <v>983199</v>
      </c>
      <c r="I41" s="467">
        <f t="shared" si="18"/>
        <v>2312516</v>
      </c>
      <c r="J41" s="375">
        <f t="shared" si="18"/>
        <v>49614</v>
      </c>
      <c r="K41" s="468">
        <f t="shared" si="18"/>
        <v>2362130</v>
      </c>
      <c r="L41" s="526">
        <f t="shared" si="2"/>
        <v>103.80237677661701</v>
      </c>
      <c r="N41" s="46"/>
    </row>
    <row r="42" spans="2:14" ht="15" customHeight="1" x14ac:dyDescent="0.2">
      <c r="B42" s="10"/>
      <c r="C42" s="104">
        <v>613900</v>
      </c>
      <c r="D42" s="130"/>
      <c r="E42" s="373" t="s">
        <v>418</v>
      </c>
      <c r="F42" s="376">
        <f>'1'!I24+'2'!I30+'6'!I24+'3'!I24+'4'!I24+'7'!I24+'8'!I26+'9'!I24+'10'!I24+'11'!I24+'12'!I24+'13'!I24+'15'!I24+'16'!I27+'17'!I24+'18'!I25+'19'!I24+'20'!I26+'22'!I24+'23'!I24+'21'!I24+'24'!I24+'25'!I24+'26'!I24+'27'!I24+'28'!I24+'29'!I24+'30'!I24+'31'!I24+'32'!I24+'33'!I24+'34'!I24+'35'!I24+'36'!I24+'37'!I24+'5'!I24+'14'!I24</f>
        <v>1702470</v>
      </c>
      <c r="G42" s="376">
        <f>'1'!J24+'2'!J30+'6'!J24+'3'!J24+'4'!J24+'7'!J24+'8'!J26+'9'!J24+'10'!J24+'11'!J24+'12'!J24+'13'!J24+'15'!J24+'16'!J27+'17'!J24+'18'!J25+'19'!J24+'20'!J26+'22'!J24+'23'!J24+'21'!J24+'24'!J24+'25'!J24+'26'!J24+'27'!J24+'28'!J24+'29'!J24+'30'!J24+'31'!J24+'32'!J24+'33'!J24+'34'!J24+'35'!J24+'36'!J24+'37'!J24+'5'!J24+'14'!J24</f>
        <v>1774503</v>
      </c>
      <c r="H42" s="376">
        <f>'1'!K24+'2'!K30+'6'!K24+'3'!K24+'4'!K24+'7'!K24+'8'!K26+'9'!K24+'10'!K24+'11'!K24+'12'!K24+'13'!K24+'15'!K24+'16'!K27+'17'!K24+'18'!K25+'19'!K24+'20'!K26+'22'!K24+'23'!K24+'21'!K24+'24'!K24+'25'!K24+'26'!K24+'27'!K24+'28'!K24+'29'!K24+'30'!K24+'31'!K24+'32'!K24+'33'!K24+'34'!K24+'35'!K24+'36'!K24+'37'!K24+'5'!K24+'14'!K24</f>
        <v>837386</v>
      </c>
      <c r="I42" s="469">
        <f>'1'!L24+'2'!L30+'6'!L24+'3'!L24+'4'!L24+'7'!L24+'8'!L26+'9'!L24+'10'!L24+'11'!L24+'12'!L24+'13'!L24+'15'!L24+'16'!L27+'17'!L24+'18'!L25+'19'!L24+'20'!L26+'22'!L24+'23'!L24+'21'!L24+'24'!L24+'25'!L24+'26'!L24+'27'!L24+'28'!L24+'29'!L24+'30'!L24+'31'!L24+'32'!L24+'33'!L24+'34'!L24+'35'!L24+'36'!L24+'37'!L24+'5'!L24+'14'!L24</f>
        <v>1836918</v>
      </c>
      <c r="J42" s="376">
        <f>'1'!M24+'2'!M30+'6'!M24+'3'!M24+'4'!M24+'7'!M24+'8'!M26+'9'!M24+'10'!M24+'11'!M24+'12'!M24+'13'!M24+'15'!M24+'16'!M27+'17'!M24+'18'!M25+'19'!M24+'20'!M26+'22'!M24+'23'!M24+'21'!M24+'24'!M24+'25'!M24+'26'!M24+'27'!M24+'28'!M24+'29'!M24+'30'!M24+'31'!M24+'32'!M24+'33'!M24+'34'!M24+'35'!M24+'36'!M24+'37'!M24+'5'!M24+'14'!M24</f>
        <v>44752</v>
      </c>
      <c r="K42" s="470">
        <f>'1'!N24+'2'!N30+'6'!N24+'3'!N24+'4'!N24+'7'!N24+'8'!N26+'9'!N24+'10'!N24+'11'!N24+'12'!N24+'13'!N24+'15'!N24+'16'!N27+'17'!N24+'18'!N25+'19'!N24+'20'!N26+'22'!N24+'23'!N24+'21'!N24+'24'!N24+'25'!N24+'26'!N24+'27'!N24+'28'!N24+'29'!N24+'30'!N24+'31'!N24+'32'!N24+'33'!N24+'34'!N24+'35'!N24+'36'!N24+'37'!N24+'5'!N24+'14'!N24</f>
        <v>1881670</v>
      </c>
      <c r="L42" s="527">
        <f t="shared" ref="L42:L73" si="19">IF(G42=0,"",K42/G42*100)</f>
        <v>106.03926845995753</v>
      </c>
      <c r="N42" s="46"/>
    </row>
    <row r="43" spans="2:14" ht="15" customHeight="1" x14ac:dyDescent="0.2">
      <c r="B43" s="10"/>
      <c r="C43" s="104">
        <v>613900</v>
      </c>
      <c r="D43" s="130" t="s">
        <v>419</v>
      </c>
      <c r="E43" s="373" t="s">
        <v>420</v>
      </c>
      <c r="F43" s="348">
        <f>'9'!I25</f>
        <v>44500</v>
      </c>
      <c r="G43" s="348">
        <f>'9'!J25</f>
        <v>44500</v>
      </c>
      <c r="H43" s="348">
        <f>'9'!K25</f>
        <v>19323</v>
      </c>
      <c r="I43" s="464">
        <f>'9'!L25</f>
        <v>44500</v>
      </c>
      <c r="J43" s="348">
        <f>'9'!M25</f>
        <v>0</v>
      </c>
      <c r="K43" s="466">
        <f>'9'!N25</f>
        <v>44500</v>
      </c>
      <c r="L43" s="527">
        <f t="shared" si="19"/>
        <v>100</v>
      </c>
      <c r="N43" s="46"/>
    </row>
    <row r="44" spans="2:14" s="299" customFormat="1" ht="15" customHeight="1" x14ac:dyDescent="0.2">
      <c r="B44" s="300"/>
      <c r="C44" s="307">
        <v>613900</v>
      </c>
      <c r="D44" s="308" t="s">
        <v>421</v>
      </c>
      <c r="E44" s="377" t="s">
        <v>422</v>
      </c>
      <c r="F44" s="378">
        <f>'9'!I26</f>
        <v>70000</v>
      </c>
      <c r="G44" s="378">
        <f>'9'!J26</f>
        <v>70000</v>
      </c>
      <c r="H44" s="378">
        <f>'9'!K26</f>
        <v>58545</v>
      </c>
      <c r="I44" s="471">
        <f>'9'!L26</f>
        <v>135000</v>
      </c>
      <c r="J44" s="378">
        <f>'9'!M26</f>
        <v>0</v>
      </c>
      <c r="K44" s="472">
        <f>'9'!N26</f>
        <v>135000</v>
      </c>
      <c r="L44" s="528">
        <f t="shared" si="19"/>
        <v>192.85714285714286</v>
      </c>
      <c r="N44" s="46"/>
    </row>
    <row r="45" spans="2:14" ht="15" customHeight="1" x14ac:dyDescent="0.2">
      <c r="B45" s="10"/>
      <c r="C45" s="104">
        <v>613900</v>
      </c>
      <c r="D45" s="130" t="s">
        <v>423</v>
      </c>
      <c r="E45" s="373" t="s">
        <v>424</v>
      </c>
      <c r="F45" s="348">
        <f>'16'!I28</f>
        <v>151400</v>
      </c>
      <c r="G45" s="348">
        <f>'16'!J28</f>
        <v>148400</v>
      </c>
      <c r="H45" s="348">
        <f>'16'!K28</f>
        <v>18169</v>
      </c>
      <c r="I45" s="464">
        <f>'16'!L28</f>
        <v>99560</v>
      </c>
      <c r="J45" s="348">
        <f>'16'!M28</f>
        <v>0</v>
      </c>
      <c r="K45" s="466">
        <f>'16'!N28</f>
        <v>99560</v>
      </c>
      <c r="L45" s="527">
        <f t="shared" si="19"/>
        <v>67.088948787061994</v>
      </c>
      <c r="N45" s="46"/>
    </row>
    <row r="46" spans="2:14" ht="15" customHeight="1" x14ac:dyDescent="0.2">
      <c r="B46" s="10"/>
      <c r="C46" s="104">
        <v>613900</v>
      </c>
      <c r="D46" s="130" t="s">
        <v>425</v>
      </c>
      <c r="E46" s="373" t="s">
        <v>426</v>
      </c>
      <c r="F46" s="348">
        <f>'20'!I27</f>
        <v>55000</v>
      </c>
      <c r="G46" s="348">
        <f>'20'!J27</f>
        <v>55000</v>
      </c>
      <c r="H46" s="348">
        <f>'20'!K27</f>
        <v>19947</v>
      </c>
      <c r="I46" s="464">
        <f>'20'!L27</f>
        <v>51000</v>
      </c>
      <c r="J46" s="348">
        <f>'20'!M27</f>
        <v>0</v>
      </c>
      <c r="K46" s="466">
        <f>'20'!N27</f>
        <v>51000</v>
      </c>
      <c r="L46" s="527">
        <f t="shared" si="19"/>
        <v>92.72727272727272</v>
      </c>
      <c r="N46" s="46"/>
    </row>
    <row r="47" spans="2:14" ht="15" customHeight="1" x14ac:dyDescent="0.2">
      <c r="B47" s="10"/>
      <c r="C47" s="104">
        <v>613900</v>
      </c>
      <c r="D47" s="130" t="s">
        <v>392</v>
      </c>
      <c r="E47" s="373" t="s">
        <v>427</v>
      </c>
      <c r="F47" s="348">
        <f>'2'!I31</f>
        <v>43200</v>
      </c>
      <c r="G47" s="348">
        <f>'2'!J31</f>
        <v>43200</v>
      </c>
      <c r="H47" s="348">
        <f>'2'!K31</f>
        <v>4251</v>
      </c>
      <c r="I47" s="464">
        <f>'2'!L31</f>
        <v>7400</v>
      </c>
      <c r="J47" s="348">
        <f>'2'!M31</f>
        <v>0</v>
      </c>
      <c r="K47" s="466">
        <f>'2'!N31</f>
        <v>7400</v>
      </c>
      <c r="L47" s="527">
        <f t="shared" si="19"/>
        <v>17.12962962962963</v>
      </c>
      <c r="N47" s="46"/>
    </row>
    <row r="48" spans="2:14" ht="15" customHeight="1" x14ac:dyDescent="0.2">
      <c r="B48" s="10"/>
      <c r="C48" s="104">
        <v>613900</v>
      </c>
      <c r="D48" s="130" t="s">
        <v>428</v>
      </c>
      <c r="E48" s="373" t="s">
        <v>429</v>
      </c>
      <c r="F48" s="348">
        <f>'2'!I32</f>
        <v>90000</v>
      </c>
      <c r="G48" s="348">
        <f>'2'!J32</f>
        <v>90000</v>
      </c>
      <c r="H48" s="348">
        <f>'2'!K32</f>
        <v>18000</v>
      </c>
      <c r="I48" s="464">
        <f>'2'!L32</f>
        <v>90000</v>
      </c>
      <c r="J48" s="348">
        <f>'2'!M32</f>
        <v>0</v>
      </c>
      <c r="K48" s="466">
        <f>'2'!N32</f>
        <v>90000</v>
      </c>
      <c r="L48" s="527">
        <f t="shared" si="19"/>
        <v>100</v>
      </c>
      <c r="N48" s="46"/>
    </row>
    <row r="49" spans="2:14" ht="15" customHeight="1" x14ac:dyDescent="0.2">
      <c r="B49" s="10"/>
      <c r="C49" s="104">
        <v>613900</v>
      </c>
      <c r="D49" s="130" t="s">
        <v>430</v>
      </c>
      <c r="E49" s="373" t="s">
        <v>431</v>
      </c>
      <c r="F49" s="348">
        <f>'15'!I25</f>
        <v>5000</v>
      </c>
      <c r="G49" s="348">
        <f>'15'!J25</f>
        <v>5000</v>
      </c>
      <c r="H49" s="348">
        <f>'15'!K25</f>
        <v>4862</v>
      </c>
      <c r="I49" s="464">
        <f>'15'!L25</f>
        <v>138</v>
      </c>
      <c r="J49" s="348">
        <f>'15'!M25</f>
        <v>4862</v>
      </c>
      <c r="K49" s="466">
        <f>'15'!N25</f>
        <v>5000</v>
      </c>
      <c r="L49" s="527">
        <f t="shared" si="19"/>
        <v>100</v>
      </c>
      <c r="N49" s="46"/>
    </row>
    <row r="50" spans="2:14" ht="24.75" customHeight="1" x14ac:dyDescent="0.2">
      <c r="B50" s="10"/>
      <c r="C50" s="345">
        <v>613900</v>
      </c>
      <c r="D50" s="556" t="s">
        <v>432</v>
      </c>
      <c r="E50" s="557" t="s">
        <v>433</v>
      </c>
      <c r="F50" s="348">
        <f>'20'!I28</f>
        <v>45000</v>
      </c>
      <c r="G50" s="348">
        <f>'20'!J28</f>
        <v>45000</v>
      </c>
      <c r="H50" s="348">
        <f>'20'!K28</f>
        <v>2716</v>
      </c>
      <c r="I50" s="464">
        <f>'20'!L28</f>
        <v>48000</v>
      </c>
      <c r="J50" s="348">
        <f>'20'!M28</f>
        <v>0</v>
      </c>
      <c r="K50" s="466">
        <f>'20'!N28</f>
        <v>48000</v>
      </c>
      <c r="L50" s="527">
        <f t="shared" ref="L50" si="20">IF(G50=0,"",K50/G50*100)</f>
        <v>106.66666666666667</v>
      </c>
      <c r="N50" s="46"/>
    </row>
    <row r="51" spans="2:14" ht="11.25" customHeight="1" x14ac:dyDescent="0.2">
      <c r="B51" s="10"/>
      <c r="C51" s="103"/>
      <c r="D51" s="129"/>
      <c r="E51" s="61"/>
      <c r="F51" s="379"/>
      <c r="G51" s="379"/>
      <c r="H51" s="379"/>
      <c r="I51" s="473"/>
      <c r="J51" s="379"/>
      <c r="K51" s="463"/>
      <c r="L51" s="526" t="str">
        <f t="shared" si="19"/>
        <v/>
      </c>
    </row>
    <row r="52" spans="2:14" ht="15" customHeight="1" x14ac:dyDescent="0.2">
      <c r="B52" s="10"/>
      <c r="C52" s="171">
        <v>614000</v>
      </c>
      <c r="D52" s="172"/>
      <c r="E52" s="370" t="s">
        <v>434</v>
      </c>
      <c r="F52" s="371">
        <f t="shared" ref="F52:K52" si="21">F53+F63+F72+F83+F88</f>
        <v>15934000</v>
      </c>
      <c r="G52" s="371">
        <f t="shared" si="21"/>
        <v>15954000</v>
      </c>
      <c r="H52" s="371">
        <f t="shared" si="21"/>
        <v>4767400</v>
      </c>
      <c r="I52" s="460">
        <f t="shared" si="21"/>
        <v>14983430</v>
      </c>
      <c r="J52" s="371">
        <f t="shared" si="21"/>
        <v>1710070</v>
      </c>
      <c r="K52" s="461">
        <f t="shared" si="21"/>
        <v>16693500</v>
      </c>
      <c r="L52" s="525">
        <f t="shared" si="19"/>
        <v>104.63520120345994</v>
      </c>
    </row>
    <row r="53" spans="2:14" ht="15" customHeight="1" x14ac:dyDescent="0.2">
      <c r="B53" s="10"/>
      <c r="C53" s="351">
        <v>614100</v>
      </c>
      <c r="D53" s="352"/>
      <c r="E53" s="61" t="s">
        <v>435</v>
      </c>
      <c r="F53" s="379">
        <f>SUM(F54:F62)</f>
        <v>3200000</v>
      </c>
      <c r="G53" s="379">
        <f t="shared" ref="G53:K53" si="22">SUM(G54:G62)</f>
        <v>3200000</v>
      </c>
      <c r="H53" s="379">
        <f t="shared" si="22"/>
        <v>1008564</v>
      </c>
      <c r="I53" s="473">
        <f t="shared" si="22"/>
        <v>2467800</v>
      </c>
      <c r="J53" s="379">
        <f t="shared" si="22"/>
        <v>1160200</v>
      </c>
      <c r="K53" s="463">
        <f t="shared" si="22"/>
        <v>3628000</v>
      </c>
      <c r="L53" s="526">
        <f t="shared" si="19"/>
        <v>113.375</v>
      </c>
    </row>
    <row r="54" spans="2:14" s="47" customFormat="1" ht="15" customHeight="1" x14ac:dyDescent="0.2">
      <c r="B54" s="48"/>
      <c r="C54" s="345">
        <v>614100</v>
      </c>
      <c r="D54" s="353" t="s">
        <v>436</v>
      </c>
      <c r="E54" s="373" t="s">
        <v>437</v>
      </c>
      <c r="F54" s="348">
        <f>'2'!I35</f>
        <v>300000</v>
      </c>
      <c r="G54" s="348">
        <f>'2'!J35</f>
        <v>300000</v>
      </c>
      <c r="H54" s="348">
        <f>'2'!K35</f>
        <v>0</v>
      </c>
      <c r="I54" s="464">
        <f>'2'!L35</f>
        <v>200000</v>
      </c>
      <c r="J54" s="348">
        <f>'2'!M35</f>
        <v>0</v>
      </c>
      <c r="K54" s="466">
        <f>'2'!N35</f>
        <v>200000</v>
      </c>
      <c r="L54" s="527">
        <f t="shared" si="19"/>
        <v>66.666666666666657</v>
      </c>
      <c r="N54" s="45"/>
    </row>
    <row r="55" spans="2:14" s="1" customFormat="1" ht="15" customHeight="1" x14ac:dyDescent="0.2">
      <c r="B55" s="12"/>
      <c r="C55" s="345">
        <v>614100</v>
      </c>
      <c r="D55" s="354" t="s">
        <v>438</v>
      </c>
      <c r="E55" s="380" t="s">
        <v>439</v>
      </c>
      <c r="F55" s="348">
        <f>'15'!I28</f>
        <v>50000</v>
      </c>
      <c r="G55" s="348">
        <f>'15'!J28</f>
        <v>50000</v>
      </c>
      <c r="H55" s="348">
        <f>'15'!K28</f>
        <v>50000</v>
      </c>
      <c r="I55" s="464">
        <f>'15'!L28</f>
        <v>50000</v>
      </c>
      <c r="J55" s="348">
        <f>'15'!M28</f>
        <v>0</v>
      </c>
      <c r="K55" s="466">
        <f>'15'!N28</f>
        <v>50000</v>
      </c>
      <c r="L55" s="527">
        <f t="shared" si="19"/>
        <v>100</v>
      </c>
      <c r="N55" s="45"/>
    </row>
    <row r="56" spans="2:14" s="1" customFormat="1" ht="15" customHeight="1" x14ac:dyDescent="0.2">
      <c r="B56" s="12"/>
      <c r="C56" s="345">
        <v>614100</v>
      </c>
      <c r="D56" s="353" t="s">
        <v>440</v>
      </c>
      <c r="E56" s="381" t="s">
        <v>441</v>
      </c>
      <c r="F56" s="348">
        <f>'16'!I31</f>
        <v>800000</v>
      </c>
      <c r="G56" s="348">
        <f>'16'!J31</f>
        <v>800000</v>
      </c>
      <c r="H56" s="348">
        <f>'16'!K31</f>
        <v>0</v>
      </c>
      <c r="I56" s="464">
        <f>'16'!L31</f>
        <v>289800</v>
      </c>
      <c r="J56" s="348">
        <f>'16'!M31</f>
        <v>510200</v>
      </c>
      <c r="K56" s="466">
        <f>'16'!N31</f>
        <v>800000</v>
      </c>
      <c r="L56" s="527">
        <f t="shared" si="19"/>
        <v>100</v>
      </c>
      <c r="N56" s="45"/>
    </row>
    <row r="57" spans="2:14" s="1" customFormat="1" ht="15" customHeight="1" x14ac:dyDescent="0.2">
      <c r="B57" s="12"/>
      <c r="C57" s="349">
        <v>614100</v>
      </c>
      <c r="D57" s="350"/>
      <c r="E57" s="373" t="s">
        <v>442</v>
      </c>
      <c r="F57" s="348">
        <f>'17'!I27</f>
        <v>400000</v>
      </c>
      <c r="G57" s="348">
        <f>'17'!J27</f>
        <v>400000</v>
      </c>
      <c r="H57" s="348">
        <f>'17'!K27</f>
        <v>200000</v>
      </c>
      <c r="I57" s="464">
        <f>'17'!L27</f>
        <v>900000</v>
      </c>
      <c r="J57" s="348">
        <f>'17'!M27</f>
        <v>0</v>
      </c>
      <c r="K57" s="466">
        <f>'17'!N27</f>
        <v>900000</v>
      </c>
      <c r="L57" s="527">
        <f t="shared" si="19"/>
        <v>225</v>
      </c>
      <c r="N57" s="45"/>
    </row>
    <row r="58" spans="2:14" s="1" customFormat="1" ht="15" customHeight="1" x14ac:dyDescent="0.2">
      <c r="B58" s="12"/>
      <c r="C58" s="345">
        <v>614100</v>
      </c>
      <c r="D58" s="354" t="s">
        <v>443</v>
      </c>
      <c r="E58" s="380" t="s">
        <v>444</v>
      </c>
      <c r="F58" s="348">
        <f>'18'!I28</f>
        <v>430000</v>
      </c>
      <c r="G58" s="348">
        <f>'18'!J28</f>
        <v>430000</v>
      </c>
      <c r="H58" s="348">
        <f>'18'!K28</f>
        <v>8162</v>
      </c>
      <c r="I58" s="464">
        <f>'18'!L28</f>
        <v>0</v>
      </c>
      <c r="J58" s="348">
        <f>'18'!M28</f>
        <v>450000</v>
      </c>
      <c r="K58" s="466">
        <f>'18'!N28</f>
        <v>450000</v>
      </c>
      <c r="L58" s="527">
        <f t="shared" si="19"/>
        <v>104.65116279069768</v>
      </c>
      <c r="N58" s="45"/>
    </row>
    <row r="59" spans="2:14" s="1" customFormat="1" ht="15" customHeight="1" x14ac:dyDescent="0.2">
      <c r="B59" s="12"/>
      <c r="C59" s="345">
        <v>614100</v>
      </c>
      <c r="D59" s="353" t="s">
        <v>445</v>
      </c>
      <c r="E59" s="373" t="s">
        <v>446</v>
      </c>
      <c r="F59" s="348">
        <f>'19'!I27</f>
        <v>200000</v>
      </c>
      <c r="G59" s="348">
        <f>'19'!J27</f>
        <v>200000</v>
      </c>
      <c r="H59" s="348">
        <f>'19'!K27</f>
        <v>5785</v>
      </c>
      <c r="I59" s="464">
        <f>'19'!L27</f>
        <v>0</v>
      </c>
      <c r="J59" s="348">
        <f>'19'!M27</f>
        <v>200000</v>
      </c>
      <c r="K59" s="466">
        <f>'19'!N27</f>
        <v>200000</v>
      </c>
      <c r="L59" s="527">
        <f t="shared" si="19"/>
        <v>100</v>
      </c>
      <c r="N59" s="45"/>
    </row>
    <row r="60" spans="2:14" s="1" customFormat="1" ht="15.75" customHeight="1" x14ac:dyDescent="0.2">
      <c r="B60" s="12"/>
      <c r="C60" s="349">
        <v>614100</v>
      </c>
      <c r="D60" s="350" t="s">
        <v>447</v>
      </c>
      <c r="E60" s="549" t="s">
        <v>448</v>
      </c>
      <c r="F60" s="348">
        <f>'20'!I31</f>
        <v>120000</v>
      </c>
      <c r="G60" s="348">
        <f>'20'!J31</f>
        <v>120000</v>
      </c>
      <c r="H60" s="348">
        <f>'20'!K31</f>
        <v>50850</v>
      </c>
      <c r="I60" s="464">
        <f>'20'!L31</f>
        <v>120000</v>
      </c>
      <c r="J60" s="348">
        <f>'20'!M31</f>
        <v>0</v>
      </c>
      <c r="K60" s="466">
        <f>'20'!N31</f>
        <v>120000</v>
      </c>
      <c r="L60" s="527">
        <f t="shared" si="19"/>
        <v>100</v>
      </c>
      <c r="N60" s="45"/>
    </row>
    <row r="61" spans="2:14" s="1" customFormat="1" ht="15" customHeight="1" x14ac:dyDescent="0.2">
      <c r="B61" s="12"/>
      <c r="C61" s="349" t="s">
        <v>449</v>
      </c>
      <c r="D61" s="350" t="s">
        <v>450</v>
      </c>
      <c r="E61" s="381" t="s">
        <v>451</v>
      </c>
      <c r="F61" s="348">
        <f>'20'!I32</f>
        <v>400000</v>
      </c>
      <c r="G61" s="348">
        <f>'20'!J32</f>
        <v>400000</v>
      </c>
      <c r="H61" s="348">
        <f>'20'!K32</f>
        <v>193767</v>
      </c>
      <c r="I61" s="464">
        <f>'20'!L32</f>
        <v>408000</v>
      </c>
      <c r="J61" s="348">
        <f>'20'!M32</f>
        <v>0</v>
      </c>
      <c r="K61" s="466">
        <f>'20'!N32</f>
        <v>408000</v>
      </c>
      <c r="L61" s="527">
        <f t="shared" si="19"/>
        <v>102</v>
      </c>
      <c r="N61" s="45"/>
    </row>
    <row r="62" spans="2:14" s="1" customFormat="1" ht="15" customHeight="1" x14ac:dyDescent="0.2">
      <c r="B62" s="12"/>
      <c r="C62" s="349" t="s">
        <v>449</v>
      </c>
      <c r="D62" s="350" t="s">
        <v>452</v>
      </c>
      <c r="E62" s="381" t="s">
        <v>453</v>
      </c>
      <c r="F62" s="348">
        <f>'33'!I27</f>
        <v>500000</v>
      </c>
      <c r="G62" s="348">
        <f>'33'!J27</f>
        <v>500000</v>
      </c>
      <c r="H62" s="348">
        <f>'33'!K27</f>
        <v>500000</v>
      </c>
      <c r="I62" s="464">
        <f>'33'!L27</f>
        <v>500000</v>
      </c>
      <c r="J62" s="348">
        <f>'33'!M27</f>
        <v>0</v>
      </c>
      <c r="K62" s="466">
        <f>'33'!N27</f>
        <v>500000</v>
      </c>
      <c r="L62" s="527">
        <f t="shared" ref="L62" si="23">IF(G62=0,"",K62/G62*100)</f>
        <v>100</v>
      </c>
      <c r="N62" s="45"/>
    </row>
    <row r="63" spans="2:14" ht="15" customHeight="1" x14ac:dyDescent="0.2">
      <c r="B63" s="10"/>
      <c r="C63" s="574" t="s">
        <v>454</v>
      </c>
      <c r="D63" s="355"/>
      <c r="E63" s="382" t="s">
        <v>455</v>
      </c>
      <c r="F63" s="379">
        <f t="shared" ref="F63:K63" si="24">SUM(F64:F71)</f>
        <v>7399000</v>
      </c>
      <c r="G63" s="379">
        <f t="shared" si="24"/>
        <v>7399000</v>
      </c>
      <c r="H63" s="379">
        <f t="shared" si="24"/>
        <v>2995081</v>
      </c>
      <c r="I63" s="473">
        <f t="shared" si="24"/>
        <v>7299130</v>
      </c>
      <c r="J63" s="379">
        <f t="shared" si="24"/>
        <v>319870</v>
      </c>
      <c r="K63" s="463">
        <f t="shared" si="24"/>
        <v>7619000</v>
      </c>
      <c r="L63" s="526">
        <f t="shared" si="19"/>
        <v>102.97337478037574</v>
      </c>
    </row>
    <row r="64" spans="2:14" s="1" customFormat="1" ht="27" customHeight="1" x14ac:dyDescent="0.2">
      <c r="B64" s="12"/>
      <c r="C64" s="349">
        <v>614200</v>
      </c>
      <c r="D64" s="350" t="s">
        <v>456</v>
      </c>
      <c r="E64" s="383" t="s">
        <v>457</v>
      </c>
      <c r="F64" s="348">
        <f>'6'!I27</f>
        <v>300000</v>
      </c>
      <c r="G64" s="348">
        <f>'6'!J27</f>
        <v>300000</v>
      </c>
      <c r="H64" s="348">
        <f>'6'!K27</f>
        <v>0</v>
      </c>
      <c r="I64" s="464">
        <f>'6'!L27</f>
        <v>300000</v>
      </c>
      <c r="J64" s="348">
        <f>'6'!M27</f>
        <v>0</v>
      </c>
      <c r="K64" s="466">
        <f>'6'!N27</f>
        <v>300000</v>
      </c>
      <c r="L64" s="527">
        <f t="shared" si="19"/>
        <v>100</v>
      </c>
      <c r="N64" s="45"/>
    </row>
    <row r="65" spans="2:14" s="1" customFormat="1" ht="15" customHeight="1" x14ac:dyDescent="0.2">
      <c r="B65" s="12"/>
      <c r="C65" s="349" t="s">
        <v>454</v>
      </c>
      <c r="D65" s="350" t="s">
        <v>458</v>
      </c>
      <c r="E65" s="373" t="s">
        <v>459</v>
      </c>
      <c r="F65" s="348">
        <f>'17'!I28</f>
        <v>80000</v>
      </c>
      <c r="G65" s="348">
        <f>'17'!J28</f>
        <v>80000</v>
      </c>
      <c r="H65" s="348">
        <f>'17'!K28</f>
        <v>44170</v>
      </c>
      <c r="I65" s="464">
        <f>'17'!L28</f>
        <v>95000</v>
      </c>
      <c r="J65" s="348">
        <f>'17'!M28</f>
        <v>0</v>
      </c>
      <c r="K65" s="466">
        <f>'17'!N28</f>
        <v>95000</v>
      </c>
      <c r="L65" s="527">
        <f t="shared" si="19"/>
        <v>118.75</v>
      </c>
      <c r="N65" s="45"/>
    </row>
    <row r="66" spans="2:14" s="1" customFormat="1" ht="15" customHeight="1" x14ac:dyDescent="0.2">
      <c r="B66" s="12"/>
      <c r="C66" s="349" t="s">
        <v>454</v>
      </c>
      <c r="D66" s="350" t="s">
        <v>460</v>
      </c>
      <c r="E66" s="373" t="s">
        <v>461</v>
      </c>
      <c r="F66" s="348">
        <f>'17'!I29</f>
        <v>4453000</v>
      </c>
      <c r="G66" s="348">
        <f>'17'!J29</f>
        <v>4453000</v>
      </c>
      <c r="H66" s="348">
        <f>'17'!K29</f>
        <v>1862867</v>
      </c>
      <c r="I66" s="464">
        <f>'17'!L29</f>
        <v>4320130</v>
      </c>
      <c r="J66" s="348">
        <f>'17'!M29</f>
        <v>229870</v>
      </c>
      <c r="K66" s="466">
        <f>'17'!N29</f>
        <v>4550000</v>
      </c>
      <c r="L66" s="527">
        <f t="shared" si="19"/>
        <v>102.17830675948798</v>
      </c>
      <c r="N66" s="45"/>
    </row>
    <row r="67" spans="2:14" s="1" customFormat="1" ht="15" customHeight="1" x14ac:dyDescent="0.2">
      <c r="B67" s="12"/>
      <c r="C67" s="349" t="s">
        <v>454</v>
      </c>
      <c r="D67" s="350" t="s">
        <v>462</v>
      </c>
      <c r="E67" s="381" t="s">
        <v>463</v>
      </c>
      <c r="F67" s="348">
        <f>'20'!I33</f>
        <v>186000</v>
      </c>
      <c r="G67" s="348">
        <f>'20'!J33</f>
        <v>186000</v>
      </c>
      <c r="H67" s="348">
        <f>'20'!K33</f>
        <v>93000</v>
      </c>
      <c r="I67" s="464">
        <f>'20'!L33</f>
        <v>200000</v>
      </c>
      <c r="J67" s="348">
        <f>'20'!M33</f>
        <v>0</v>
      </c>
      <c r="K67" s="466">
        <f>'20'!N33</f>
        <v>200000</v>
      </c>
      <c r="L67" s="527">
        <f t="shared" si="19"/>
        <v>107.5268817204301</v>
      </c>
      <c r="N67" s="45"/>
    </row>
    <row r="68" spans="2:14" s="1" customFormat="1" ht="16.5" customHeight="1" x14ac:dyDescent="0.2">
      <c r="B68" s="12"/>
      <c r="C68" s="349" t="s">
        <v>454</v>
      </c>
      <c r="D68" s="350" t="s">
        <v>464</v>
      </c>
      <c r="E68" s="383" t="s">
        <v>465</v>
      </c>
      <c r="F68" s="348">
        <f>'20'!I34</f>
        <v>40000</v>
      </c>
      <c r="G68" s="348">
        <f>'20'!J34</f>
        <v>40000</v>
      </c>
      <c r="H68" s="348">
        <f>'20'!K34</f>
        <v>0</v>
      </c>
      <c r="I68" s="464">
        <f>'20'!L34</f>
        <v>34000</v>
      </c>
      <c r="J68" s="348">
        <f>'20'!M34</f>
        <v>0</v>
      </c>
      <c r="K68" s="466">
        <f>'20'!N34</f>
        <v>34000</v>
      </c>
      <c r="L68" s="527">
        <f t="shared" si="19"/>
        <v>85</v>
      </c>
      <c r="N68" s="45"/>
    </row>
    <row r="69" spans="2:14" s="1" customFormat="1" ht="15" customHeight="1" x14ac:dyDescent="0.2">
      <c r="B69" s="12"/>
      <c r="C69" s="349" t="s">
        <v>454</v>
      </c>
      <c r="D69" s="350" t="s">
        <v>466</v>
      </c>
      <c r="E69" s="374" t="s">
        <v>467</v>
      </c>
      <c r="F69" s="348">
        <f>'20'!I35</f>
        <v>250000</v>
      </c>
      <c r="G69" s="348">
        <f>'20'!J35</f>
        <v>250000</v>
      </c>
      <c r="H69" s="348">
        <f>'20'!K35</f>
        <v>0</v>
      </c>
      <c r="I69" s="464">
        <f>'20'!L35</f>
        <v>250000</v>
      </c>
      <c r="J69" s="348">
        <f>'20'!M35</f>
        <v>0</v>
      </c>
      <c r="K69" s="466">
        <f>'20'!N35</f>
        <v>250000</v>
      </c>
      <c r="L69" s="527">
        <f t="shared" si="19"/>
        <v>100</v>
      </c>
      <c r="N69" s="45"/>
    </row>
    <row r="70" spans="2:14" s="1" customFormat="1" ht="15" customHeight="1" x14ac:dyDescent="0.2">
      <c r="B70" s="12"/>
      <c r="C70" s="349">
        <v>614200</v>
      </c>
      <c r="D70" s="350" t="s">
        <v>468</v>
      </c>
      <c r="E70" s="381" t="s">
        <v>469</v>
      </c>
      <c r="F70" s="348">
        <f>'31'!I27</f>
        <v>2000000</v>
      </c>
      <c r="G70" s="348">
        <f>'31'!J26</f>
        <v>2000000</v>
      </c>
      <c r="H70" s="348">
        <f>'31'!K26</f>
        <v>985138</v>
      </c>
      <c r="I70" s="464">
        <f>'31'!L26</f>
        <v>2100000</v>
      </c>
      <c r="J70" s="348">
        <f>'31'!M26</f>
        <v>0</v>
      </c>
      <c r="K70" s="466">
        <f>'31'!N26</f>
        <v>2100000</v>
      </c>
      <c r="L70" s="527">
        <f t="shared" si="19"/>
        <v>105</v>
      </c>
      <c r="N70" s="45"/>
    </row>
    <row r="71" spans="2:14" s="1" customFormat="1" ht="15" customHeight="1" x14ac:dyDescent="0.2">
      <c r="B71" s="12"/>
      <c r="C71" s="349" t="s">
        <v>454</v>
      </c>
      <c r="D71" s="350" t="s">
        <v>470</v>
      </c>
      <c r="E71" s="373" t="s">
        <v>471</v>
      </c>
      <c r="F71" s="348">
        <f>'33'!I28</f>
        <v>90000</v>
      </c>
      <c r="G71" s="348">
        <f>'33'!J28</f>
        <v>90000</v>
      </c>
      <c r="H71" s="348">
        <f>'33'!K28</f>
        <v>9906</v>
      </c>
      <c r="I71" s="464">
        <f>'33'!L28</f>
        <v>0</v>
      </c>
      <c r="J71" s="348">
        <f>'33'!M28</f>
        <v>90000</v>
      </c>
      <c r="K71" s="466">
        <f>'33'!N28</f>
        <v>90000</v>
      </c>
      <c r="L71" s="527">
        <f t="shared" si="19"/>
        <v>100</v>
      </c>
      <c r="N71" s="45"/>
    </row>
    <row r="72" spans="2:14" ht="15" customHeight="1" x14ac:dyDescent="0.2">
      <c r="B72" s="10"/>
      <c r="C72" s="574" t="s">
        <v>472</v>
      </c>
      <c r="D72" s="355"/>
      <c r="E72" s="420" t="s">
        <v>473</v>
      </c>
      <c r="F72" s="379">
        <f t="shared" ref="F72:K72" si="25">SUM(F73:F82)</f>
        <v>1815000</v>
      </c>
      <c r="G72" s="379">
        <f t="shared" si="25"/>
        <v>1815000</v>
      </c>
      <c r="H72" s="379">
        <f t="shared" si="25"/>
        <v>489322</v>
      </c>
      <c r="I72" s="473">
        <f t="shared" si="25"/>
        <v>1855000</v>
      </c>
      <c r="J72" s="379">
        <f t="shared" si="25"/>
        <v>0</v>
      </c>
      <c r="K72" s="463">
        <f t="shared" si="25"/>
        <v>1855000</v>
      </c>
      <c r="L72" s="526">
        <f t="shared" si="19"/>
        <v>102.2038567493113</v>
      </c>
    </row>
    <row r="73" spans="2:14" s="1" customFormat="1" ht="15" customHeight="1" x14ac:dyDescent="0.2">
      <c r="B73" s="12"/>
      <c r="C73" s="349" t="s">
        <v>472</v>
      </c>
      <c r="D73" s="350" t="s">
        <v>474</v>
      </c>
      <c r="E73" s="381" t="s">
        <v>475</v>
      </c>
      <c r="F73" s="348">
        <f>'2'!I39</f>
        <v>150000</v>
      </c>
      <c r="G73" s="348">
        <f>'2'!J39</f>
        <v>150000</v>
      </c>
      <c r="H73" s="348">
        <f>'2'!K39</f>
        <v>62500</v>
      </c>
      <c r="I73" s="464">
        <f>'2'!L39</f>
        <v>150000</v>
      </c>
      <c r="J73" s="348">
        <f>'2'!M39</f>
        <v>0</v>
      </c>
      <c r="K73" s="466">
        <f>'2'!N39</f>
        <v>150000</v>
      </c>
      <c r="L73" s="527">
        <f t="shared" si="19"/>
        <v>100</v>
      </c>
      <c r="N73" s="45"/>
    </row>
    <row r="74" spans="2:14" s="1" customFormat="1" ht="15" customHeight="1" x14ac:dyDescent="0.2">
      <c r="B74" s="12"/>
      <c r="C74" s="349" t="s">
        <v>472</v>
      </c>
      <c r="D74" s="350" t="s">
        <v>476</v>
      </c>
      <c r="E74" s="381" t="s">
        <v>477</v>
      </c>
      <c r="F74" s="348">
        <f>'2'!I40</f>
        <v>70000</v>
      </c>
      <c r="G74" s="348">
        <f>'2'!J40</f>
        <v>70000</v>
      </c>
      <c r="H74" s="348">
        <f>'2'!K40</f>
        <v>35000</v>
      </c>
      <c r="I74" s="464">
        <f>'2'!L40</f>
        <v>70000</v>
      </c>
      <c r="J74" s="348">
        <f>'2'!M40</f>
        <v>0</v>
      </c>
      <c r="K74" s="466">
        <f>'2'!N40</f>
        <v>70000</v>
      </c>
      <c r="L74" s="527">
        <f t="shared" ref="L74:L103" si="26">IF(G74=0,"",K74/G74*100)</f>
        <v>100</v>
      </c>
      <c r="N74" s="45"/>
    </row>
    <row r="75" spans="2:14" s="1" customFormat="1" ht="15" customHeight="1" x14ac:dyDescent="0.2">
      <c r="B75" s="12"/>
      <c r="C75" s="349" t="s">
        <v>472</v>
      </c>
      <c r="D75" s="350" t="s">
        <v>478</v>
      </c>
      <c r="E75" s="373" t="s">
        <v>479</v>
      </c>
      <c r="F75" s="348">
        <f>'2'!I36</f>
        <v>80000</v>
      </c>
      <c r="G75" s="348">
        <f>'2'!J36</f>
        <v>80000</v>
      </c>
      <c r="H75" s="348">
        <f>'2'!K36</f>
        <v>0</v>
      </c>
      <c r="I75" s="464">
        <f>'2'!L36</f>
        <v>80000</v>
      </c>
      <c r="J75" s="348">
        <f>'2'!M36</f>
        <v>0</v>
      </c>
      <c r="K75" s="466">
        <f>'2'!N36</f>
        <v>80000</v>
      </c>
      <c r="L75" s="527">
        <f t="shared" si="26"/>
        <v>100</v>
      </c>
      <c r="N75" s="45"/>
    </row>
    <row r="76" spans="2:14" ht="15" customHeight="1" x14ac:dyDescent="0.2">
      <c r="B76" s="10"/>
      <c r="C76" s="349" t="s">
        <v>472</v>
      </c>
      <c r="D76" s="350" t="s">
        <v>480</v>
      </c>
      <c r="E76" s="373" t="s">
        <v>481</v>
      </c>
      <c r="F76" s="348">
        <f>'2'!I37</f>
        <v>35000</v>
      </c>
      <c r="G76" s="348">
        <f>'2'!J37</f>
        <v>35000</v>
      </c>
      <c r="H76" s="348">
        <f>'2'!K37</f>
        <v>14588</v>
      </c>
      <c r="I76" s="464">
        <f>'2'!L37</f>
        <v>35000</v>
      </c>
      <c r="J76" s="348">
        <f>'2'!M37</f>
        <v>0</v>
      </c>
      <c r="K76" s="466">
        <f>'2'!N37</f>
        <v>35000</v>
      </c>
      <c r="L76" s="527">
        <f t="shared" si="26"/>
        <v>100</v>
      </c>
    </row>
    <row r="77" spans="2:14" s="1" customFormat="1" ht="15" customHeight="1" x14ac:dyDescent="0.2">
      <c r="B77" s="20"/>
      <c r="C77" s="349" t="s">
        <v>472</v>
      </c>
      <c r="D77" s="350" t="s">
        <v>482</v>
      </c>
      <c r="E77" s="373" t="s">
        <v>483</v>
      </c>
      <c r="F77" s="348">
        <f>'2'!I38</f>
        <v>40000</v>
      </c>
      <c r="G77" s="348">
        <f>'2'!J38</f>
        <v>40000</v>
      </c>
      <c r="H77" s="348">
        <f>'2'!K38</f>
        <v>20002</v>
      </c>
      <c r="I77" s="464">
        <f>'2'!L38</f>
        <v>40000</v>
      </c>
      <c r="J77" s="348">
        <f>'2'!M38</f>
        <v>0</v>
      </c>
      <c r="K77" s="466">
        <f>'2'!N38</f>
        <v>40000</v>
      </c>
      <c r="L77" s="527">
        <f t="shared" si="26"/>
        <v>100</v>
      </c>
      <c r="N77" s="45"/>
    </row>
    <row r="78" spans="2:14" s="310" customFormat="1" ht="15" customHeight="1" x14ac:dyDescent="0.2">
      <c r="B78" s="311"/>
      <c r="C78" s="356" t="s">
        <v>472</v>
      </c>
      <c r="D78" s="357" t="s">
        <v>484</v>
      </c>
      <c r="E78" s="373" t="s">
        <v>485</v>
      </c>
      <c r="F78" s="348">
        <f>'17'!I30</f>
        <v>130000</v>
      </c>
      <c r="G78" s="348">
        <f>'17'!J30</f>
        <v>130000</v>
      </c>
      <c r="H78" s="348">
        <f>'17'!K30</f>
        <v>32700</v>
      </c>
      <c r="I78" s="464">
        <f>'17'!L30</f>
        <v>130000</v>
      </c>
      <c r="J78" s="348">
        <f>'17'!M30</f>
        <v>0</v>
      </c>
      <c r="K78" s="465">
        <f>'17'!N30</f>
        <v>130000</v>
      </c>
      <c r="L78" s="527">
        <f t="shared" si="26"/>
        <v>100</v>
      </c>
      <c r="N78" s="45"/>
    </row>
    <row r="79" spans="2:14" ht="15" customHeight="1" thickBot="1" x14ac:dyDescent="0.25">
      <c r="B79" s="15"/>
      <c r="C79" s="349" t="s">
        <v>472</v>
      </c>
      <c r="D79" s="350" t="s">
        <v>486</v>
      </c>
      <c r="E79" s="381" t="s">
        <v>487</v>
      </c>
      <c r="F79" s="348">
        <f>'20'!I36</f>
        <v>410000</v>
      </c>
      <c r="G79" s="348">
        <f>'20'!J36</f>
        <v>410000</v>
      </c>
      <c r="H79" s="348">
        <f>'20'!K36</f>
        <v>111032</v>
      </c>
      <c r="I79" s="464">
        <f>'20'!L36</f>
        <v>450000</v>
      </c>
      <c r="J79" s="348">
        <f>'20'!M36</f>
        <v>0</v>
      </c>
      <c r="K79" s="466">
        <f>'20'!N36</f>
        <v>450000</v>
      </c>
      <c r="L79" s="527">
        <f t="shared" si="26"/>
        <v>109.75609756097562</v>
      </c>
    </row>
    <row r="80" spans="2:14" ht="15" customHeight="1" x14ac:dyDescent="0.2">
      <c r="C80" s="349" t="s">
        <v>472</v>
      </c>
      <c r="D80" s="350" t="s">
        <v>488</v>
      </c>
      <c r="E80" s="381" t="s">
        <v>489</v>
      </c>
      <c r="F80" s="348">
        <f>'20'!I37</f>
        <v>300000</v>
      </c>
      <c r="G80" s="348">
        <f>'20'!J37</f>
        <v>300000</v>
      </c>
      <c r="H80" s="348">
        <f>'20'!K37</f>
        <v>17000</v>
      </c>
      <c r="I80" s="464">
        <f>'20'!L37</f>
        <v>300000</v>
      </c>
      <c r="J80" s="348">
        <f>'20'!M37</f>
        <v>0</v>
      </c>
      <c r="K80" s="466">
        <f>'20'!N37</f>
        <v>300000</v>
      </c>
      <c r="L80" s="527">
        <f t="shared" si="26"/>
        <v>100</v>
      </c>
    </row>
    <row r="81" spans="3:12" ht="15" customHeight="1" x14ac:dyDescent="0.2">
      <c r="C81" s="349" t="s">
        <v>472</v>
      </c>
      <c r="D81" s="350" t="s">
        <v>490</v>
      </c>
      <c r="E81" s="381" t="s">
        <v>491</v>
      </c>
      <c r="F81" s="348">
        <f>'20'!I38</f>
        <v>450000</v>
      </c>
      <c r="G81" s="348">
        <f>'20'!J38</f>
        <v>450000</v>
      </c>
      <c r="H81" s="348">
        <f>'20'!K38</f>
        <v>180600</v>
      </c>
      <c r="I81" s="464">
        <f>'20'!L38</f>
        <v>450000</v>
      </c>
      <c r="J81" s="348">
        <f>'20'!M38</f>
        <v>0</v>
      </c>
      <c r="K81" s="466">
        <f>'20'!N38</f>
        <v>450000</v>
      </c>
      <c r="L81" s="527">
        <f t="shared" si="26"/>
        <v>100</v>
      </c>
    </row>
    <row r="82" spans="3:12" ht="15" customHeight="1" x14ac:dyDescent="0.2">
      <c r="C82" s="349" t="s">
        <v>472</v>
      </c>
      <c r="D82" s="350" t="s">
        <v>492</v>
      </c>
      <c r="E82" s="381" t="s">
        <v>493</v>
      </c>
      <c r="F82" s="348">
        <f>'20'!I39</f>
        <v>150000</v>
      </c>
      <c r="G82" s="348">
        <f>'20'!J39</f>
        <v>150000</v>
      </c>
      <c r="H82" s="348">
        <f>'20'!K39</f>
        <v>15900</v>
      </c>
      <c r="I82" s="464">
        <f>'20'!L39</f>
        <v>150000</v>
      </c>
      <c r="J82" s="348">
        <f>'20'!M39</f>
        <v>0</v>
      </c>
      <c r="K82" s="466">
        <f>'20'!N39</f>
        <v>150000</v>
      </c>
      <c r="L82" s="527">
        <f t="shared" si="26"/>
        <v>100</v>
      </c>
    </row>
    <row r="83" spans="3:12" ht="15" customHeight="1" x14ac:dyDescent="0.2">
      <c r="C83" s="574" t="s">
        <v>494</v>
      </c>
      <c r="D83" s="355"/>
      <c r="E83" s="420" t="s">
        <v>495</v>
      </c>
      <c r="F83" s="379">
        <f>SUM(F84:F87)</f>
        <v>3450000</v>
      </c>
      <c r="G83" s="379">
        <f t="shared" ref="G83:K83" si="27">SUM(G84:G87)</f>
        <v>3470000</v>
      </c>
      <c r="H83" s="379">
        <f t="shared" ref="H83" si="28">SUM(H84:H87)</f>
        <v>249297</v>
      </c>
      <c r="I83" s="473">
        <f t="shared" si="27"/>
        <v>3160000</v>
      </c>
      <c r="J83" s="379">
        <f t="shared" si="27"/>
        <v>230000</v>
      </c>
      <c r="K83" s="463">
        <f t="shared" si="27"/>
        <v>3390000</v>
      </c>
      <c r="L83" s="526">
        <f t="shared" si="26"/>
        <v>97.694524495677243</v>
      </c>
    </row>
    <row r="84" spans="3:12" ht="15" customHeight="1" x14ac:dyDescent="0.2">
      <c r="C84" s="349" t="s">
        <v>494</v>
      </c>
      <c r="D84" s="350" t="s">
        <v>496</v>
      </c>
      <c r="E84" s="381" t="s">
        <v>497</v>
      </c>
      <c r="F84" s="348">
        <f>'15'!I29</f>
        <v>1250000</v>
      </c>
      <c r="G84" s="348">
        <f>'15'!J29</f>
        <v>1270000</v>
      </c>
      <c r="H84" s="348">
        <f>'15'!K29</f>
        <v>249297</v>
      </c>
      <c r="I84" s="464">
        <f>'15'!L29</f>
        <v>1310000</v>
      </c>
      <c r="J84" s="348">
        <f>'15'!M29</f>
        <v>0</v>
      </c>
      <c r="K84" s="466">
        <f>'15'!N29</f>
        <v>1310000</v>
      </c>
      <c r="L84" s="527">
        <f t="shared" si="26"/>
        <v>103.14960629921259</v>
      </c>
    </row>
    <row r="85" spans="3:12" ht="15" customHeight="1" x14ac:dyDescent="0.2">
      <c r="C85" s="349" t="s">
        <v>494</v>
      </c>
      <c r="D85" s="350" t="s">
        <v>498</v>
      </c>
      <c r="E85" s="381" t="s">
        <v>499</v>
      </c>
      <c r="F85" s="348">
        <f>'19'!I28</f>
        <v>1750000</v>
      </c>
      <c r="G85" s="348">
        <f>'19'!J28</f>
        <v>1750000</v>
      </c>
      <c r="H85" s="348">
        <f>'19'!K28</f>
        <v>0</v>
      </c>
      <c r="I85" s="464">
        <f>'19'!L28</f>
        <v>1850000</v>
      </c>
      <c r="J85" s="348">
        <f>'19'!M28</f>
        <v>0</v>
      </c>
      <c r="K85" s="466">
        <f>'19'!N28</f>
        <v>1850000</v>
      </c>
      <c r="L85" s="527">
        <f t="shared" si="26"/>
        <v>105.71428571428572</v>
      </c>
    </row>
    <row r="86" spans="3:12" ht="15" customHeight="1" x14ac:dyDescent="0.2">
      <c r="C86" s="349" t="s">
        <v>494</v>
      </c>
      <c r="D86" s="350" t="s">
        <v>500</v>
      </c>
      <c r="E86" s="381" t="s">
        <v>501</v>
      </c>
      <c r="F86" s="348">
        <f>'19'!I29</f>
        <v>200000</v>
      </c>
      <c r="G86" s="348">
        <f>'19'!J29</f>
        <v>200000</v>
      </c>
      <c r="H86" s="348">
        <f>'19'!K29</f>
        <v>0</v>
      </c>
      <c r="I86" s="464">
        <f>'19'!L29</f>
        <v>0</v>
      </c>
      <c r="J86" s="348">
        <f>'19'!M29</f>
        <v>100000</v>
      </c>
      <c r="K86" s="466">
        <f>'19'!N29</f>
        <v>100000</v>
      </c>
      <c r="L86" s="527">
        <f t="shared" si="26"/>
        <v>50</v>
      </c>
    </row>
    <row r="87" spans="3:12" ht="15" customHeight="1" x14ac:dyDescent="0.2">
      <c r="C87" s="349" t="s">
        <v>494</v>
      </c>
      <c r="D87" s="350" t="s">
        <v>502</v>
      </c>
      <c r="E87" s="381" t="s">
        <v>503</v>
      </c>
      <c r="F87" s="348">
        <f>'19'!I30</f>
        <v>250000</v>
      </c>
      <c r="G87" s="348">
        <f>'19'!J30</f>
        <v>250000</v>
      </c>
      <c r="H87" s="348">
        <f>'19'!K30</f>
        <v>0</v>
      </c>
      <c r="I87" s="464">
        <f>'19'!L30</f>
        <v>0</v>
      </c>
      <c r="J87" s="348">
        <f>'19'!M30</f>
        <v>130000</v>
      </c>
      <c r="K87" s="466">
        <f>'19'!N30</f>
        <v>130000</v>
      </c>
      <c r="L87" s="527">
        <f t="shared" si="26"/>
        <v>52</v>
      </c>
    </row>
    <row r="88" spans="3:12" ht="15" customHeight="1" x14ac:dyDescent="0.2">
      <c r="C88" s="574">
        <v>614800</v>
      </c>
      <c r="D88" s="355"/>
      <c r="E88" s="420" t="s">
        <v>504</v>
      </c>
      <c r="F88" s="379">
        <f>SUM(F89:F90)</f>
        <v>70000</v>
      </c>
      <c r="G88" s="379">
        <f t="shared" ref="G88:K88" si="29">SUM(G89:G90)</f>
        <v>70000</v>
      </c>
      <c r="H88" s="379">
        <f t="shared" ref="H88" si="30">SUM(H89:H90)</f>
        <v>25136</v>
      </c>
      <c r="I88" s="473">
        <f t="shared" si="29"/>
        <v>201500</v>
      </c>
      <c r="J88" s="379">
        <f t="shared" si="29"/>
        <v>0</v>
      </c>
      <c r="K88" s="463">
        <f t="shared" si="29"/>
        <v>201500</v>
      </c>
      <c r="L88" s="526">
        <f t="shared" si="26"/>
        <v>287.85714285714283</v>
      </c>
    </row>
    <row r="89" spans="3:12" ht="15" customHeight="1" x14ac:dyDescent="0.2">
      <c r="C89" s="349">
        <v>614800</v>
      </c>
      <c r="D89" s="350" t="s">
        <v>505</v>
      </c>
      <c r="E89" s="381" t="s">
        <v>506</v>
      </c>
      <c r="F89" s="348">
        <f>'16'!I32</f>
        <v>60000</v>
      </c>
      <c r="G89" s="348">
        <f>'16'!J32</f>
        <v>60000</v>
      </c>
      <c r="H89" s="348">
        <f>'16'!K32</f>
        <v>24921</v>
      </c>
      <c r="I89" s="464">
        <f>'16'!L32</f>
        <v>200000</v>
      </c>
      <c r="J89" s="348">
        <f>'16'!M32</f>
        <v>0</v>
      </c>
      <c r="K89" s="466">
        <f>'16'!N32</f>
        <v>200000</v>
      </c>
      <c r="L89" s="527">
        <f t="shared" si="26"/>
        <v>333.33333333333337</v>
      </c>
    </row>
    <row r="90" spans="3:12" ht="16.5" customHeight="1" x14ac:dyDescent="0.2">
      <c r="C90" s="349">
        <v>614800</v>
      </c>
      <c r="D90" s="350" t="s">
        <v>507</v>
      </c>
      <c r="E90" s="383" t="s">
        <v>508</v>
      </c>
      <c r="F90" s="348">
        <f>'16'!I33</f>
        <v>10000</v>
      </c>
      <c r="G90" s="348">
        <f>'16'!J33</f>
        <v>10000</v>
      </c>
      <c r="H90" s="348">
        <f>'16'!K33</f>
        <v>215</v>
      </c>
      <c r="I90" s="464">
        <f>'16'!L33</f>
        <v>1500</v>
      </c>
      <c r="J90" s="348">
        <f>'16'!M33</f>
        <v>0</v>
      </c>
      <c r="K90" s="466">
        <f>'16'!N33</f>
        <v>1500</v>
      </c>
      <c r="L90" s="527">
        <f t="shared" si="26"/>
        <v>15</v>
      </c>
    </row>
    <row r="91" spans="3:12" ht="13.5" customHeight="1" x14ac:dyDescent="0.2">
      <c r="C91" s="358"/>
      <c r="D91" s="359"/>
      <c r="E91" s="384"/>
      <c r="F91" s="385"/>
      <c r="G91" s="385"/>
      <c r="H91" s="385"/>
      <c r="I91" s="474"/>
      <c r="J91" s="385"/>
      <c r="K91" s="461"/>
      <c r="L91" s="526" t="str">
        <f t="shared" si="26"/>
        <v/>
      </c>
    </row>
    <row r="92" spans="3:12" ht="15" customHeight="1" x14ac:dyDescent="0.2">
      <c r="C92" s="360">
        <v>615000</v>
      </c>
      <c r="D92" s="361"/>
      <c r="E92" s="386" t="s">
        <v>509</v>
      </c>
      <c r="F92" s="371">
        <f>SUM(F93:F97)</f>
        <v>1700000</v>
      </c>
      <c r="G92" s="371">
        <f t="shared" ref="G92:K92" si="31">SUM(G93:G97)</f>
        <v>1700000</v>
      </c>
      <c r="H92" s="371">
        <f t="shared" ref="H92" si="32">SUM(H93:H97)</f>
        <v>0</v>
      </c>
      <c r="I92" s="460">
        <f t="shared" si="31"/>
        <v>1100000</v>
      </c>
      <c r="J92" s="371">
        <f t="shared" si="31"/>
        <v>650000</v>
      </c>
      <c r="K92" s="461">
        <f t="shared" si="31"/>
        <v>1750000</v>
      </c>
      <c r="L92" s="525">
        <f t="shared" si="26"/>
        <v>102.94117647058823</v>
      </c>
    </row>
    <row r="93" spans="3:12" ht="15" customHeight="1" x14ac:dyDescent="0.2">
      <c r="C93" s="362" t="s">
        <v>510</v>
      </c>
      <c r="D93" s="355"/>
      <c r="E93" s="387" t="s">
        <v>511</v>
      </c>
      <c r="F93" s="372">
        <f>'2'!I43</f>
        <v>200000</v>
      </c>
      <c r="G93" s="372">
        <f>'2'!J43</f>
        <v>200000</v>
      </c>
      <c r="H93" s="372">
        <f>'2'!K43</f>
        <v>0</v>
      </c>
      <c r="I93" s="462">
        <f>'2'!L43</f>
        <v>0</v>
      </c>
      <c r="J93" s="372">
        <f>'2'!M43</f>
        <v>0</v>
      </c>
      <c r="K93" s="463">
        <f>'2'!N43</f>
        <v>0</v>
      </c>
      <c r="L93" s="526">
        <f t="shared" si="26"/>
        <v>0</v>
      </c>
    </row>
    <row r="94" spans="3:12" ht="29.25" customHeight="1" x14ac:dyDescent="0.2">
      <c r="C94" s="362" t="s">
        <v>510</v>
      </c>
      <c r="D94" s="355" t="s">
        <v>512</v>
      </c>
      <c r="E94" s="502" t="str">
        <f>'15'!H32</f>
        <v xml:space="preserve"> Kapitalni grant jedinicama lokalne samouprave za 
 razvoj poduzetničke infrastrukture</v>
      </c>
      <c r="F94" s="372">
        <f>'15'!I32</f>
        <v>200000</v>
      </c>
      <c r="G94" s="372">
        <f>'15'!J32</f>
        <v>200000</v>
      </c>
      <c r="H94" s="372">
        <f>'15'!K32</f>
        <v>0</v>
      </c>
      <c r="I94" s="462">
        <f>'15'!L32</f>
        <v>0</v>
      </c>
      <c r="J94" s="372">
        <f>'15'!M32</f>
        <v>200000</v>
      </c>
      <c r="K94" s="463">
        <f>'15'!N32</f>
        <v>200000</v>
      </c>
      <c r="L94" s="526">
        <f t="shared" si="26"/>
        <v>100</v>
      </c>
    </row>
    <row r="95" spans="3:12" ht="15" customHeight="1" x14ac:dyDescent="0.2">
      <c r="C95" s="362" t="s">
        <v>510</v>
      </c>
      <c r="D95" s="355" t="s">
        <v>513</v>
      </c>
      <c r="E95" s="387" t="s">
        <v>514</v>
      </c>
      <c r="F95" s="372">
        <f>'19'!I33</f>
        <v>300000</v>
      </c>
      <c r="G95" s="372">
        <f>'19'!J33</f>
        <v>300000</v>
      </c>
      <c r="H95" s="372">
        <f>'19'!K33</f>
        <v>0</v>
      </c>
      <c r="I95" s="462">
        <f>'19'!L33</f>
        <v>0</v>
      </c>
      <c r="J95" s="372">
        <f>'19'!M33</f>
        <v>300000</v>
      </c>
      <c r="K95" s="463">
        <f>'19'!N33</f>
        <v>300000</v>
      </c>
      <c r="L95" s="526">
        <f t="shared" si="26"/>
        <v>100</v>
      </c>
    </row>
    <row r="96" spans="3:12" ht="15" customHeight="1" x14ac:dyDescent="0.2">
      <c r="C96" s="362" t="s">
        <v>510</v>
      </c>
      <c r="D96" s="355" t="s">
        <v>515</v>
      </c>
      <c r="E96" s="387" t="s">
        <v>516</v>
      </c>
      <c r="F96" s="372">
        <f>'19'!I34</f>
        <v>150000</v>
      </c>
      <c r="G96" s="372">
        <f>'19'!J34</f>
        <v>150000</v>
      </c>
      <c r="H96" s="372">
        <f>'19'!K34</f>
        <v>0</v>
      </c>
      <c r="I96" s="462">
        <f>'19'!L34</f>
        <v>0</v>
      </c>
      <c r="J96" s="372">
        <f>'19'!M34</f>
        <v>150000</v>
      </c>
      <c r="K96" s="463">
        <f>'19'!N34</f>
        <v>150000</v>
      </c>
      <c r="L96" s="526">
        <f t="shared" si="26"/>
        <v>100</v>
      </c>
    </row>
    <row r="97" spans="3:14" ht="15" customHeight="1" x14ac:dyDescent="0.2">
      <c r="C97" s="362" t="s">
        <v>517</v>
      </c>
      <c r="D97" s="355" t="s">
        <v>518</v>
      </c>
      <c r="E97" s="387" t="s">
        <v>519</v>
      </c>
      <c r="F97" s="372">
        <f>'15'!I33</f>
        <v>850000</v>
      </c>
      <c r="G97" s="372">
        <f>'15'!J33</f>
        <v>850000</v>
      </c>
      <c r="H97" s="372">
        <f>'15'!K33</f>
        <v>0</v>
      </c>
      <c r="I97" s="462">
        <f>'15'!L33</f>
        <v>1100000</v>
      </c>
      <c r="J97" s="372">
        <f>'15'!M33</f>
        <v>0</v>
      </c>
      <c r="K97" s="463">
        <f>'15'!N33</f>
        <v>1100000</v>
      </c>
      <c r="L97" s="526">
        <f t="shared" si="26"/>
        <v>129.41176470588235</v>
      </c>
    </row>
    <row r="98" spans="3:14" ht="9" customHeight="1" x14ac:dyDescent="0.2">
      <c r="C98" s="363"/>
      <c r="D98" s="364"/>
      <c r="E98" s="388"/>
      <c r="F98" s="372"/>
      <c r="G98" s="372"/>
      <c r="H98" s="372"/>
      <c r="I98" s="462"/>
      <c r="J98" s="372"/>
      <c r="K98" s="463"/>
      <c r="L98" s="526" t="str">
        <f t="shared" si="26"/>
        <v/>
      </c>
    </row>
    <row r="99" spans="3:14" ht="15" customHeight="1" x14ac:dyDescent="0.2">
      <c r="C99" s="365" t="s">
        <v>520</v>
      </c>
      <c r="D99" s="366"/>
      <c r="E99" s="386" t="s">
        <v>521</v>
      </c>
      <c r="F99" s="371">
        <f t="shared" ref="F99:K99" si="33">SUM(F100:F101)</f>
        <v>17790</v>
      </c>
      <c r="G99" s="371">
        <f t="shared" si="33"/>
        <v>17790</v>
      </c>
      <c r="H99" s="371">
        <f t="shared" ref="H99" si="34">SUM(H100:H101)</f>
        <v>8567</v>
      </c>
      <c r="I99" s="460">
        <f t="shared" si="33"/>
        <v>15510</v>
      </c>
      <c r="J99" s="371">
        <f t="shared" si="33"/>
        <v>0</v>
      </c>
      <c r="K99" s="461">
        <f t="shared" si="33"/>
        <v>15510</v>
      </c>
      <c r="L99" s="525">
        <f t="shared" si="26"/>
        <v>87.183811129848237</v>
      </c>
    </row>
    <row r="100" spans="3:14" ht="15" customHeight="1" x14ac:dyDescent="0.2">
      <c r="C100" s="351">
        <v>616200</v>
      </c>
      <c r="D100" s="352" t="s">
        <v>522</v>
      </c>
      <c r="E100" s="387" t="s">
        <v>523</v>
      </c>
      <c r="F100" s="372">
        <f>'16'!I36</f>
        <v>14330</v>
      </c>
      <c r="G100" s="372">
        <f>'16'!J36</f>
        <v>14330</v>
      </c>
      <c r="H100" s="372">
        <f>'16'!K36</f>
        <v>6839</v>
      </c>
      <c r="I100" s="462">
        <f>'16'!L36</f>
        <v>12910</v>
      </c>
      <c r="J100" s="372">
        <f>'16'!M36</f>
        <v>0</v>
      </c>
      <c r="K100" s="463">
        <f>'16'!N36</f>
        <v>12910</v>
      </c>
      <c r="L100" s="526">
        <f t="shared" si="26"/>
        <v>90.090718771807403</v>
      </c>
    </row>
    <row r="101" spans="3:14" ht="15" customHeight="1" x14ac:dyDescent="0.2">
      <c r="C101" s="351">
        <v>616200</v>
      </c>
      <c r="D101" s="352" t="s">
        <v>524</v>
      </c>
      <c r="E101" s="387" t="s">
        <v>525</v>
      </c>
      <c r="F101" s="372">
        <f>'16'!I37</f>
        <v>3460</v>
      </c>
      <c r="G101" s="372">
        <f>'16'!J37</f>
        <v>3460</v>
      </c>
      <c r="H101" s="372">
        <f>'16'!K37</f>
        <v>1728</v>
      </c>
      <c r="I101" s="462">
        <f>'16'!L37</f>
        <v>2600</v>
      </c>
      <c r="J101" s="372">
        <f>'16'!M37</f>
        <v>0</v>
      </c>
      <c r="K101" s="463">
        <f>'16'!N37</f>
        <v>2600</v>
      </c>
      <c r="L101" s="526">
        <f t="shared" si="26"/>
        <v>75.144508670520224</v>
      </c>
    </row>
    <row r="102" spans="3:14" ht="8.25" customHeight="1" x14ac:dyDescent="0.2">
      <c r="C102" s="351"/>
      <c r="D102" s="352"/>
      <c r="E102" s="387"/>
      <c r="F102" s="372"/>
      <c r="G102" s="372"/>
      <c r="H102" s="372"/>
      <c r="I102" s="462"/>
      <c r="J102" s="372"/>
      <c r="K102" s="463"/>
      <c r="L102" s="526" t="str">
        <f t="shared" si="26"/>
        <v/>
      </c>
    </row>
    <row r="103" spans="3:14" ht="15" customHeight="1" x14ac:dyDescent="0.2">
      <c r="C103" s="367">
        <v>821000</v>
      </c>
      <c r="D103" s="368"/>
      <c r="E103" s="370" t="s">
        <v>526</v>
      </c>
      <c r="F103" s="371">
        <f>SUM(F104:F110)</f>
        <v>5299310</v>
      </c>
      <c r="G103" s="371">
        <f t="shared" ref="G103:K103" si="35">SUM(G104:G110)</f>
        <v>5434686</v>
      </c>
      <c r="H103" s="371">
        <f t="shared" ref="H103" si="36">SUM(H104:H110)</f>
        <v>692748</v>
      </c>
      <c r="I103" s="460">
        <f t="shared" si="35"/>
        <v>1791235</v>
      </c>
      <c r="J103" s="371">
        <f t="shared" si="35"/>
        <v>5586725</v>
      </c>
      <c r="K103" s="461">
        <f t="shared" si="35"/>
        <v>7377960</v>
      </c>
      <c r="L103" s="525">
        <f t="shared" si="26"/>
        <v>135.75687721424936</v>
      </c>
      <c r="N103" s="54"/>
    </row>
    <row r="104" spans="3:14" ht="15" customHeight="1" x14ac:dyDescent="0.2">
      <c r="C104" s="351">
        <v>821100</v>
      </c>
      <c r="D104" s="352"/>
      <c r="E104" s="389" t="s">
        <v>527</v>
      </c>
      <c r="F104" s="372">
        <f>'2'!I46</f>
        <v>100000</v>
      </c>
      <c r="G104" s="372">
        <f>'2'!J46</f>
        <v>100000</v>
      </c>
      <c r="H104" s="372">
        <f>'2'!K46</f>
        <v>0</v>
      </c>
      <c r="I104" s="462">
        <f>'2'!L46</f>
        <v>0</v>
      </c>
      <c r="J104" s="372">
        <f>'2'!M46</f>
        <v>0</v>
      </c>
      <c r="K104" s="463">
        <f>'2'!N46</f>
        <v>0</v>
      </c>
      <c r="L104" s="526">
        <f t="shared" ref="L104:L115" si="37">IF(G104=0,"",K104/G104*100)</f>
        <v>0</v>
      </c>
      <c r="N104" s="54"/>
    </row>
    <row r="105" spans="3:14" ht="15" customHeight="1" x14ac:dyDescent="0.2">
      <c r="C105" s="351">
        <v>821200</v>
      </c>
      <c r="D105" s="352"/>
      <c r="E105" s="61" t="s">
        <v>528</v>
      </c>
      <c r="F105" s="372">
        <f>'1'!I27+'2'!I47+'6'!I30+'3'!I27+'4'!I27+'5'!I27+'7'!I27+'8'!I29+'9'!I29+'10'!I28+'11'!I27+'12'!I27+'13'!I27+'15'!I36+'16'!I40+'17'!I33+'18'!I31+'19'!I37+'20'!I42+'21'!I27+'22'!I27+'23'!I27+'24'!I27+'25'!I27+'26'!I27+'27'!I27+'28'!I27+'29'!I27+'30'!I27+'31'!I30+'32'!I27+'33'!I31+'34'!I27+'35'!I27+'36'!I27+'37'!I27+'14'!I27</f>
        <v>2473910</v>
      </c>
      <c r="G105" s="372">
        <f>'1'!J27+'2'!J47+'6'!J30+'3'!J27+'4'!J27+'5'!J27+'7'!J27+'8'!J29+'9'!J29+'10'!J28+'11'!J27+'12'!J27+'13'!J27+'15'!J36+'16'!J40+'17'!J33+'18'!J31+'19'!J37+'20'!J42+'21'!J27+'22'!J27+'23'!J27+'24'!J27+'25'!J27+'26'!J27+'27'!J27+'28'!J27+'29'!J27+'30'!J27+'31'!J30+'32'!J27+'33'!J31+'34'!J27+'35'!J27+'36'!J27+'37'!J27+'14'!J27</f>
        <v>2555909</v>
      </c>
      <c r="H105" s="372">
        <f>'1'!K27+'2'!K47+'6'!K30+'3'!K27+'4'!K27+'5'!K27+'7'!K27+'8'!K29+'9'!K29+'10'!K28+'11'!K27+'12'!K27+'13'!K27+'15'!K36+'16'!K40+'17'!K33+'18'!K31+'19'!K37+'20'!K42+'21'!K27+'22'!K27+'23'!K27+'24'!K27+'25'!K27+'26'!K27+'27'!K27+'28'!K27+'29'!K27+'30'!K27+'31'!K30+'32'!K27+'33'!K31+'34'!K27+'35'!K27+'36'!K27+'37'!K27+'14'!K27</f>
        <v>28966</v>
      </c>
      <c r="I105" s="462">
        <f>'1'!L27+'2'!L47+'6'!L30+'3'!L27+'4'!L27+'5'!L27+'7'!L27+'8'!L29+'9'!L29+'10'!L28+'11'!L27+'12'!L27+'13'!L27+'15'!L36+'16'!L40+'17'!L33+'18'!L31+'19'!L37+'20'!L42+'21'!L27+'22'!L27+'23'!L27+'24'!L27+'25'!L27+'26'!L27+'27'!L27+'28'!L27+'29'!L27+'30'!L27+'31'!L30+'32'!L27+'33'!L31+'34'!L27+'35'!L27+'36'!L27+'37'!L27+'14'!L27</f>
        <v>1198106</v>
      </c>
      <c r="J105" s="372">
        <f>'1'!M27+'2'!M47+'6'!M30+'3'!M27+'4'!M27+'5'!M27+'7'!M27+'8'!M29+'9'!M29+'10'!M28+'11'!M27+'12'!M27+'13'!M27+'15'!M36+'16'!M40+'17'!M33+'18'!M31+'19'!M37+'20'!M42+'21'!M27+'22'!M27+'23'!M27+'24'!M27+'25'!M27+'26'!M27+'27'!M27+'28'!M27+'29'!M27+'30'!M27+'31'!M30+'32'!M27+'33'!M31+'34'!M27+'35'!M27+'36'!M27+'37'!M27+'14'!M27</f>
        <v>1815084</v>
      </c>
      <c r="K105" s="463">
        <f>'1'!N27+'2'!N47+'6'!N30+'3'!N27+'4'!N27+'5'!N27+'7'!N27+'8'!N29+'9'!N29+'10'!N28+'11'!N27+'12'!N27+'13'!N27+'15'!N36+'16'!N40+'17'!N33+'18'!N31+'19'!N37+'20'!N42+'21'!N27+'22'!N27+'23'!N27+'24'!N27+'25'!N27+'26'!N27+'27'!N27+'28'!N27+'29'!N27+'30'!N27+'31'!N30+'32'!N27+'33'!N31+'34'!N27+'35'!N27+'36'!N27+'37'!N27+'14'!N27</f>
        <v>3013190</v>
      </c>
      <c r="L105" s="526">
        <f t="shared" si="37"/>
        <v>117.89112992676969</v>
      </c>
      <c r="N105" s="54"/>
    </row>
    <row r="106" spans="3:14" ht="15" customHeight="1" x14ac:dyDescent="0.2">
      <c r="C106" s="351">
        <v>821300</v>
      </c>
      <c r="D106" s="352"/>
      <c r="E106" s="61" t="s">
        <v>529</v>
      </c>
      <c r="F106" s="372">
        <f>'1'!I28+'2'!I48+'6'!I31+'3'!I28+'4'!I28+'5'!I28+'7'!I28+'8'!I30+'9'!I30+'10'!I29+'11'!I28+'12'!I28+'13'!I28+'15'!I37+'16'!I41+'17'!I34+'18'!I32+'19'!I38+'20'!I43+'21'!I28+'22'!I28+'23'!I28+'24'!I28+'25'!I28+'26'!I28+'27'!I28+'28'!I28+'29'!I28+'30'!I28+'31'!I31+'32'!I28+'33'!I32+'34'!I28+'35'!I28+'36'!I28+'37'!I28+'14'!I28</f>
        <v>550400</v>
      </c>
      <c r="G106" s="372">
        <f>'1'!J28+'2'!J48+'6'!J31+'3'!J28+'4'!J28+'5'!J28+'7'!J28+'8'!J30+'9'!J30+'10'!J29+'11'!J28+'12'!J28+'13'!J28+'15'!J37+'16'!J41+'17'!J34+'18'!J32+'19'!J38+'20'!J43+'21'!J28+'22'!J28+'23'!J28+'24'!J28+'25'!J28+'26'!J28+'27'!J28+'28'!J28+'29'!J28+'30'!J28+'31'!J31+'32'!J28+'33'!J32+'34'!J28+'35'!J28+'36'!J28+'37'!J28+'14'!J28</f>
        <v>603777</v>
      </c>
      <c r="H106" s="372">
        <f>'1'!K28+'2'!K48+'6'!K30+'3'!K28+'4'!K28+'5'!K28+'7'!K28+'8'!K30+'9'!K30+'10'!K29+'11'!K28+'12'!K28+'13'!K28+'15'!K37+'16'!K41+'17'!K34+'18'!K32+'19'!K38+'20'!K43+'21'!K28+'22'!K28+'23'!K28+'24'!K28+'25'!K28+'26'!K28+'27'!K28+'28'!K28+'29'!K28+'30'!K28+'31'!K31+'32'!K28+'33'!K32+'34'!K28+'35'!K28+'36'!K28+'37'!K28+'14'!K28</f>
        <v>235016</v>
      </c>
      <c r="I106" s="462">
        <f>'1'!L28+'2'!L48+'6'!L31+'3'!L28+'4'!L28+'5'!L28+'7'!L28+'8'!L30+'9'!L30+'10'!L29+'11'!L28+'12'!L28+'13'!L28+'15'!L37+'16'!L41+'17'!L34+'18'!L32+'19'!L38+'20'!L43+'21'!L28+'22'!L28+'23'!L28+'24'!L28+'25'!L28+'26'!L28+'27'!L28+'28'!L28+'29'!L28+'30'!L28+'31'!L31+'32'!L28+'33'!L32+'34'!L28+'35'!L28+'36'!L28+'37'!L28+'14'!L28</f>
        <v>519765</v>
      </c>
      <c r="J106" s="372">
        <f>'1'!M28+'2'!M48+'6'!M31+'3'!M28+'4'!M28+'5'!M28+'7'!M28+'8'!M30+'9'!M30+'10'!M29+'11'!M28+'12'!M28+'13'!M28+'15'!M37+'16'!M41+'17'!M34+'18'!M32+'19'!M38+'20'!M43+'21'!M28+'22'!M28+'23'!M28+'24'!M28+'25'!M28+'26'!M28+'27'!M28+'28'!M28+'29'!M28+'30'!M28+'31'!M31+'32'!M28+'33'!M32+'34'!M28+'35'!M28+'36'!M28+'37'!M28+'14'!M28</f>
        <v>120245</v>
      </c>
      <c r="K106" s="463">
        <f>'1'!N28+'2'!N48+'6'!N31+'3'!N28+'4'!N28+'5'!N28+'7'!N28+'8'!N30+'9'!N30+'10'!N29+'11'!N28+'12'!N28+'13'!N28+'15'!N37+'16'!N41+'17'!N34+'18'!N32+'19'!N38+'20'!N43+'21'!N28+'22'!N28+'23'!N28+'24'!N28+'25'!N28+'26'!N28+'27'!N28+'28'!N28+'29'!N28+'30'!N28+'31'!N31+'32'!N28+'33'!N32+'34'!N28+'35'!N28+'36'!N28+'37'!N28+'14'!N28</f>
        <v>640010</v>
      </c>
      <c r="L106" s="526">
        <f t="shared" si="37"/>
        <v>106.00105668152315</v>
      </c>
      <c r="N106" s="54"/>
    </row>
    <row r="107" spans="3:14" ht="15" customHeight="1" x14ac:dyDescent="0.2">
      <c r="C107" s="351">
        <v>821300</v>
      </c>
      <c r="D107" s="352" t="s">
        <v>530</v>
      </c>
      <c r="E107" s="389" t="s">
        <v>531</v>
      </c>
      <c r="F107" s="372">
        <f>'33'!I33</f>
        <v>220000</v>
      </c>
      <c r="G107" s="372">
        <f>'33'!J33</f>
        <v>220000</v>
      </c>
      <c r="H107" s="372">
        <f>'33'!K33</f>
        <v>13773</v>
      </c>
      <c r="I107" s="462">
        <f>'33'!L33</f>
        <v>28364</v>
      </c>
      <c r="J107" s="372">
        <f>'33'!M33</f>
        <v>46396</v>
      </c>
      <c r="K107" s="463">
        <f>'33'!N33</f>
        <v>74760</v>
      </c>
      <c r="L107" s="526">
        <f t="shared" si="37"/>
        <v>33.981818181818177</v>
      </c>
      <c r="N107" s="54"/>
    </row>
    <row r="108" spans="3:14" ht="15" customHeight="1" x14ac:dyDescent="0.2">
      <c r="C108" s="351">
        <v>821500</v>
      </c>
      <c r="D108" s="352"/>
      <c r="E108" s="389" t="s">
        <v>532</v>
      </c>
      <c r="F108" s="372">
        <f>'2'!I49+'1'!I29</f>
        <v>55000</v>
      </c>
      <c r="G108" s="372">
        <f>'2'!J49+'1'!J29</f>
        <v>55000</v>
      </c>
      <c r="H108" s="372">
        <f>'2'!K49+'1'!K29</f>
        <v>3702</v>
      </c>
      <c r="I108" s="462">
        <f>'2'!L49+'1'!L29</f>
        <v>45000</v>
      </c>
      <c r="J108" s="372">
        <f>'2'!M49+'1'!M29</f>
        <v>0</v>
      </c>
      <c r="K108" s="463">
        <f>'2'!N49+'1'!N29</f>
        <v>45000</v>
      </c>
      <c r="L108" s="526">
        <f t="shared" si="37"/>
        <v>81.818181818181827</v>
      </c>
      <c r="N108" s="54"/>
    </row>
    <row r="109" spans="3:14" ht="15" customHeight="1" x14ac:dyDescent="0.2">
      <c r="C109" s="351">
        <v>821500</v>
      </c>
      <c r="D109" s="352" t="s">
        <v>533</v>
      </c>
      <c r="E109" s="389" t="s">
        <v>534</v>
      </c>
      <c r="F109" s="372">
        <f>'18'!I33</f>
        <v>1100000</v>
      </c>
      <c r="G109" s="372">
        <f>'18'!J33</f>
        <v>1100000</v>
      </c>
      <c r="H109" s="372">
        <f>'18'!K33</f>
        <v>102669</v>
      </c>
      <c r="I109" s="462">
        <f>'18'!L33</f>
        <v>0</v>
      </c>
      <c r="J109" s="372">
        <f>'18'!M33</f>
        <v>1375000</v>
      </c>
      <c r="K109" s="463">
        <f>'18'!N33</f>
        <v>1375000</v>
      </c>
      <c r="L109" s="526">
        <f t="shared" si="37"/>
        <v>125</v>
      </c>
      <c r="N109" s="54"/>
    </row>
    <row r="110" spans="3:14" ht="15" customHeight="1" x14ac:dyDescent="0.2">
      <c r="C110" s="351">
        <v>821600</v>
      </c>
      <c r="D110" s="352" t="s">
        <v>535</v>
      </c>
      <c r="E110" s="389" t="s">
        <v>536</v>
      </c>
      <c r="F110" s="372">
        <f>'18'!I34</f>
        <v>800000</v>
      </c>
      <c r="G110" s="372">
        <f>'18'!J34</f>
        <v>800000</v>
      </c>
      <c r="H110" s="372">
        <f>'18'!K34</f>
        <v>308622</v>
      </c>
      <c r="I110" s="462">
        <f>'18'!L34</f>
        <v>0</v>
      </c>
      <c r="J110" s="372">
        <f>'18'!M34</f>
        <v>2230000</v>
      </c>
      <c r="K110" s="463">
        <f>'18'!N34</f>
        <v>2230000</v>
      </c>
      <c r="L110" s="526">
        <f t="shared" si="37"/>
        <v>278.75</v>
      </c>
      <c r="N110" s="54"/>
    </row>
    <row r="111" spans="3:14" ht="7.5" customHeight="1" x14ac:dyDescent="0.2">
      <c r="C111" s="351"/>
      <c r="D111" s="352"/>
      <c r="E111" s="61"/>
      <c r="F111" s="379"/>
      <c r="G111" s="379"/>
      <c r="H111" s="379"/>
      <c r="I111" s="473"/>
      <c r="J111" s="379"/>
      <c r="K111" s="463"/>
      <c r="L111" s="526" t="str">
        <f t="shared" si="37"/>
        <v/>
      </c>
      <c r="N111" s="54"/>
    </row>
    <row r="112" spans="3:14" ht="15" customHeight="1" x14ac:dyDescent="0.2">
      <c r="C112" s="367">
        <v>823000</v>
      </c>
      <c r="D112" s="368"/>
      <c r="E112" s="370" t="s">
        <v>537</v>
      </c>
      <c r="F112" s="371">
        <f t="shared" ref="F112:K112" si="38">SUM(F113:F114)</f>
        <v>518870</v>
      </c>
      <c r="G112" s="371">
        <f t="shared" si="38"/>
        <v>518870</v>
      </c>
      <c r="H112" s="371">
        <f t="shared" ref="H112" si="39">SUM(H113:H114)</f>
        <v>256477</v>
      </c>
      <c r="I112" s="460">
        <f t="shared" si="38"/>
        <v>510020</v>
      </c>
      <c r="J112" s="371">
        <f t="shared" si="38"/>
        <v>0</v>
      </c>
      <c r="K112" s="461">
        <f t="shared" si="38"/>
        <v>510020</v>
      </c>
      <c r="L112" s="525">
        <f t="shared" si="37"/>
        <v>98.294370458881801</v>
      </c>
      <c r="N112" s="54"/>
    </row>
    <row r="113" spans="3:14" ht="15" customHeight="1" x14ac:dyDescent="0.2">
      <c r="C113" s="351">
        <v>823200</v>
      </c>
      <c r="D113" s="352" t="s">
        <v>522</v>
      </c>
      <c r="E113" s="389" t="s">
        <v>538</v>
      </c>
      <c r="F113" s="372">
        <f>'16'!I44</f>
        <v>88580</v>
      </c>
      <c r="G113" s="372">
        <f>'16'!J44</f>
        <v>88580</v>
      </c>
      <c r="H113" s="372">
        <f>'16'!K44</f>
        <v>41336</v>
      </c>
      <c r="I113" s="462">
        <f>'16'!L44</f>
        <v>79730</v>
      </c>
      <c r="J113" s="372">
        <f>'16'!M44</f>
        <v>0</v>
      </c>
      <c r="K113" s="463">
        <f>'16'!N44</f>
        <v>79730</v>
      </c>
      <c r="L113" s="526">
        <f t="shared" si="37"/>
        <v>90.009031384059611</v>
      </c>
      <c r="N113" s="54"/>
    </row>
    <row r="114" spans="3:14" ht="15" customHeight="1" x14ac:dyDescent="0.2">
      <c r="C114" s="351">
        <v>823200</v>
      </c>
      <c r="D114" s="352" t="s">
        <v>524</v>
      </c>
      <c r="E114" s="389" t="s">
        <v>539</v>
      </c>
      <c r="F114" s="372">
        <f>'16'!I45</f>
        <v>430290</v>
      </c>
      <c r="G114" s="372">
        <f>'16'!J45</f>
        <v>430290</v>
      </c>
      <c r="H114" s="372">
        <f>'16'!K45</f>
        <v>215141</v>
      </c>
      <c r="I114" s="462">
        <f>'16'!L45</f>
        <v>430290</v>
      </c>
      <c r="J114" s="372">
        <f>'16'!M45</f>
        <v>0</v>
      </c>
      <c r="K114" s="463">
        <f>'16'!N45</f>
        <v>430290</v>
      </c>
      <c r="L114" s="526">
        <f t="shared" si="37"/>
        <v>100</v>
      </c>
      <c r="N114" s="54"/>
    </row>
    <row r="115" spans="3:14" ht="8.25" customHeight="1" x14ac:dyDescent="0.2">
      <c r="C115" s="351"/>
      <c r="D115" s="352"/>
      <c r="E115" s="11"/>
      <c r="F115" s="27"/>
      <c r="G115" s="27"/>
      <c r="H115" s="27"/>
      <c r="I115" s="258"/>
      <c r="J115" s="27"/>
      <c r="K115" s="457"/>
      <c r="L115" s="522" t="str">
        <f t="shared" si="37"/>
        <v/>
      </c>
    </row>
    <row r="116" spans="3:14" ht="15" customHeight="1" x14ac:dyDescent="0.25">
      <c r="C116" s="369"/>
      <c r="D116" s="359"/>
      <c r="E116" s="8" t="s">
        <v>540</v>
      </c>
      <c r="F116" s="18" t="s">
        <v>541</v>
      </c>
      <c r="G116" s="18" t="s">
        <v>541</v>
      </c>
      <c r="H116" s="18" t="s">
        <v>542</v>
      </c>
      <c r="I116" s="451" t="s">
        <v>973</v>
      </c>
      <c r="J116" s="18"/>
      <c r="K116" s="450" t="s">
        <v>973</v>
      </c>
      <c r="L116" s="522"/>
    </row>
    <row r="117" spans="3:14" ht="15" customHeight="1" x14ac:dyDescent="0.25">
      <c r="C117" s="4"/>
      <c r="D117" s="128"/>
      <c r="E117" s="8" t="s">
        <v>543</v>
      </c>
      <c r="F117" s="14">
        <f>'1'!I32+'2'!I52+'6'!I34+'3'!I31+'4'!I31+'5'!I31+'7'!I31+'8'!I33+'9'!I33+'10'!I32+'11'!I31+'12'!I31+'13'!I31+'15'!I40+'16'!I48+'17'!I37+'18'!I37+'19'!I41+'20'!I46+'21'!I31+'22'!I31+'23'!I31+'24'!I31+'25'!I31+'26'!I31+'27'!I31+'28'!I31+'29'!I31+'30'!I31+'31'!I34+'32'!I31+'33'!I36+'34'!I31+'35'!I31+'36'!I31+'37'!I31+'14'!I31</f>
        <v>66987000</v>
      </c>
      <c r="G117" s="14">
        <f>'1'!J32+'2'!J52+'6'!J34+'3'!J31+'4'!J31+'5'!J31+'7'!J31+'8'!J33+'9'!J33+'10'!J32+'11'!J31+'12'!J31+'13'!J31+'15'!J40+'16'!J48+'17'!J37+'18'!J37+'19'!J41+'20'!J46+'21'!J31+'22'!J31+'23'!J31+'24'!J31+'25'!J31+'26'!J31+'27'!J31+'28'!J31+'29'!J31+'30'!J31+'31'!J34+'32'!J31+'33'!J36+'34'!J31+'35'!J31+'36'!J31+'37'!J31+'14'!J31</f>
        <v>67555493</v>
      </c>
      <c r="H117" s="14">
        <f>'1'!K32+'2'!K52+'6'!K34+'3'!K31+'4'!K31+'5'!K31+'7'!K31+'8'!K33+'9'!K33+'10'!K32+'11'!K31+'12'!K31+'13'!K31+'15'!K40+'16'!K48+'17'!K37+'18'!K37+'19'!K41+'20'!K46+'21'!K31+'22'!K31+'23'!K31+'24'!K31+'25'!K31+'26'!K31+'27'!K31+'28'!K31+'29'!K31+'30'!K31+'31'!K34+'32'!K31+'33'!K36+'34'!K31+'35'!K31+'36'!K31+'37'!K31+'14'!K31</f>
        <v>27337851</v>
      </c>
      <c r="I117" s="259">
        <f>'1'!L32+'2'!L52+'6'!L34+'3'!L31+'4'!L31+'5'!L31+'7'!L31+'8'!L33+'9'!L33+'10'!L32+'11'!L31+'12'!L31+'13'!L31+'15'!L40+'16'!L48+'17'!L37+'18'!L37+'19'!L41+'20'!L46+'21'!L31+'22'!L31+'23'!L31+'24'!L31+'25'!L31+'26'!L31+'27'!L31+'28'!L31+'29'!L31+'30'!L31+'31'!L34+'32'!L31+'33'!L36+'34'!L31+'35'!L31+'36'!L31+'37'!L31+'14'!L31</f>
        <v>63031671</v>
      </c>
      <c r="J117" s="14">
        <f>'1'!M32+'2'!M52+'6'!M34+'3'!M31+'4'!M31+'5'!M31+'7'!M31+'8'!M33+'9'!M33+'10'!M32+'11'!M31+'12'!M31+'13'!M31+'15'!M40+'16'!M48+'17'!M37+'18'!M37+'19'!M41+'20'!M46+'21'!M31+'22'!M31+'23'!M31+'24'!M31+'25'!M31+'26'!M31+'27'!M31+'28'!M31+'29'!M31+'30'!M31+'31'!M34+'32'!M31+'33'!M36+'34'!M31+'35'!M31+'36'!M31+'37'!M31+'14'!M31</f>
        <v>9088129</v>
      </c>
      <c r="K117" s="455">
        <f>'1'!N32+'2'!N52+'6'!N34+'3'!N31+'4'!N31+'5'!N31+'7'!N31+'8'!N33+'9'!N33+'10'!N32+'11'!N31+'12'!N31+'13'!N31+'15'!N40+'16'!N48+'17'!N37+'18'!N37+'19'!N41+'20'!N46+'21'!N31+'22'!N31+'23'!N31+'24'!N31+'25'!N31+'26'!N31+'27'!N31+'28'!N31+'29'!N31+'30'!N31+'31'!N34+'32'!N31+'33'!N36+'34'!N31+'35'!N31+'36'!N31+'37'!N31+'14'!N31</f>
        <v>72119800</v>
      </c>
      <c r="L117" s="529">
        <f>IF(G117=0,"",K117/G117*100)</f>
        <v>106.75638174974165</v>
      </c>
    </row>
    <row r="118" spans="3:14" ht="9" customHeight="1" thickBot="1" x14ac:dyDescent="0.25">
      <c r="C118" s="26"/>
      <c r="D118" s="132"/>
      <c r="E118" s="16"/>
      <c r="F118" s="25"/>
      <c r="G118" s="16"/>
      <c r="H118" s="16"/>
      <c r="I118" s="15"/>
      <c r="J118" s="16"/>
      <c r="K118" s="475"/>
      <c r="L118" s="530"/>
    </row>
    <row r="119" spans="3:14" ht="9" customHeight="1" thickBot="1" x14ac:dyDescent="0.25">
      <c r="C119" s="41"/>
      <c r="D119" s="117"/>
      <c r="E119" s="42"/>
      <c r="F119" s="42"/>
      <c r="G119" s="42"/>
      <c r="H119" s="42"/>
      <c r="I119" s="42"/>
      <c r="J119" s="42"/>
      <c r="K119" s="42"/>
      <c r="L119" s="499"/>
    </row>
    <row r="120" spans="3:14" ht="7.5" customHeight="1" x14ac:dyDescent="0.2"/>
    <row r="121" spans="3:14" ht="8.25" customHeight="1" x14ac:dyDescent="0.2">
      <c r="C121" s="30"/>
      <c r="D121" s="30"/>
    </row>
    <row r="122" spans="3:14" s="299" customFormat="1" ht="12" customHeight="1" x14ac:dyDescent="0.2">
      <c r="C122" s="314" t="s">
        <v>544</v>
      </c>
      <c r="D122" s="314"/>
      <c r="G122" s="315"/>
      <c r="H122" s="315"/>
      <c r="J122" s="315"/>
      <c r="K122" s="316"/>
    </row>
    <row r="123" spans="3:14" s="299" customFormat="1" ht="6.75" customHeight="1" x14ac:dyDescent="0.2">
      <c r="C123" s="317"/>
      <c r="D123" s="317"/>
      <c r="J123" s="315"/>
      <c r="K123" s="316"/>
    </row>
    <row r="124" spans="3:14" s="299" customFormat="1" ht="12" customHeight="1" x14ac:dyDescent="0.2">
      <c r="C124" s="622" t="s">
        <v>545</v>
      </c>
      <c r="D124" s="622"/>
      <c r="E124" s="622"/>
      <c r="F124" s="318"/>
      <c r="G124" s="318"/>
      <c r="H124" s="318"/>
      <c r="I124" s="318"/>
      <c r="J124" s="318"/>
      <c r="K124" s="319"/>
    </row>
    <row r="125" spans="3:14" s="299" customFormat="1" ht="18" customHeight="1" x14ac:dyDescent="0.2">
      <c r="C125" s="318" t="s">
        <v>546</v>
      </c>
      <c r="D125" s="318"/>
      <c r="E125" s="318"/>
      <c r="F125" s="318"/>
      <c r="G125" s="318"/>
      <c r="H125" s="318"/>
      <c r="I125" s="318"/>
      <c r="J125" s="318"/>
      <c r="K125" s="319"/>
    </row>
    <row r="126" spans="3:14" s="299" customFormat="1" ht="12" customHeight="1" x14ac:dyDescent="0.2">
      <c r="C126" s="618" t="str">
        <f>CONCATENATE("     Rashodi i izdaci u Proračunu u iznosu od ",TEXT(K117,"#.##0")," KM raspoređuju se po korisnicima proračuna u Posebnom dijelu Proračuna kako slijedi:")</f>
        <v xml:space="preserve">     Rashodi i izdaci u Proračunu u iznosu od 72.119.800 KM raspoređuju se po korisnicima proračuna u Posebnom dijelu Proračuna kako slijedi:</v>
      </c>
      <c r="D126" s="618"/>
      <c r="E126" s="618"/>
      <c r="F126" s="618"/>
      <c r="G126" s="618"/>
      <c r="H126" s="618"/>
      <c r="I126" s="618"/>
      <c r="J126" s="618"/>
      <c r="K126" s="618"/>
    </row>
    <row r="127" spans="3:14" s="299" customFormat="1" ht="15" customHeight="1" x14ac:dyDescent="0.2">
      <c r="C127" s="314"/>
      <c r="D127" s="314"/>
      <c r="J127" s="315"/>
      <c r="K127" s="316"/>
      <c r="N127" s="315"/>
    </row>
    <row r="128" spans="3:14" s="299" customFormat="1" ht="6.75" customHeight="1" x14ac:dyDescent="0.2">
      <c r="C128" s="317"/>
      <c r="D128" s="317"/>
      <c r="J128" s="315"/>
      <c r="K128" s="316"/>
      <c r="N128" s="315"/>
    </row>
    <row r="129" spans="3:14" s="299" customFormat="1" ht="12" customHeight="1" x14ac:dyDescent="0.2">
      <c r="C129" s="622"/>
      <c r="D129" s="622"/>
      <c r="E129" s="622"/>
      <c r="F129" s="318"/>
      <c r="G129" s="318"/>
      <c r="H129" s="318"/>
      <c r="I129" s="318"/>
      <c r="J129" s="318"/>
      <c r="K129" s="319"/>
      <c r="N129" s="315"/>
    </row>
    <row r="130" spans="3:14" s="299" customFormat="1" ht="9" customHeight="1" x14ac:dyDescent="0.2">
      <c r="C130" s="318"/>
      <c r="D130" s="318"/>
      <c r="E130" s="318"/>
      <c r="F130" s="318"/>
      <c r="G130" s="318"/>
      <c r="H130" s="318"/>
      <c r="I130" s="318"/>
      <c r="J130" s="318"/>
      <c r="K130" s="319"/>
      <c r="N130" s="315"/>
    </row>
    <row r="131" spans="3:14" s="299" customFormat="1" ht="12" customHeight="1" x14ac:dyDescent="0.2">
      <c r="C131" s="618"/>
      <c r="D131" s="618"/>
      <c r="E131" s="618"/>
      <c r="F131" s="618"/>
      <c r="G131" s="618"/>
      <c r="H131" s="618"/>
      <c r="I131" s="618"/>
      <c r="J131" s="618"/>
      <c r="K131" s="618"/>
      <c r="N131" s="315"/>
    </row>
    <row r="132" spans="3:14" ht="15" customHeight="1" x14ac:dyDescent="0.2">
      <c r="C132" s="314"/>
      <c r="D132" s="314"/>
      <c r="E132" s="299"/>
      <c r="F132" s="299"/>
      <c r="G132" s="299"/>
      <c r="H132" s="299"/>
      <c r="I132" s="299"/>
      <c r="J132" s="299"/>
      <c r="K132" s="315"/>
      <c r="L132" s="316"/>
    </row>
    <row r="133" spans="3:14" ht="6.75" customHeight="1" x14ac:dyDescent="0.2">
      <c r="C133" s="317"/>
      <c r="D133" s="317"/>
      <c r="E133" s="299"/>
      <c r="F133" s="299"/>
      <c r="G133" s="299"/>
      <c r="H133" s="299"/>
      <c r="I133" s="299"/>
      <c r="J133" s="299"/>
      <c r="K133" s="315"/>
      <c r="L133" s="316"/>
    </row>
    <row r="134" spans="3:14" ht="12" customHeight="1" x14ac:dyDescent="0.2">
      <c r="C134" s="622"/>
      <c r="D134" s="622"/>
      <c r="E134" s="622"/>
      <c r="F134" s="318"/>
      <c r="G134" s="318"/>
      <c r="H134" s="318"/>
      <c r="I134" s="318"/>
      <c r="J134" s="318"/>
      <c r="K134" s="318"/>
      <c r="L134" s="319"/>
    </row>
    <row r="135" spans="3:14" ht="9" customHeight="1" x14ac:dyDescent="0.2">
      <c r="C135" s="318"/>
      <c r="D135" s="318"/>
      <c r="E135" s="318"/>
      <c r="F135" s="318"/>
      <c r="G135" s="318"/>
      <c r="H135" s="318"/>
      <c r="I135" s="318"/>
      <c r="J135" s="318"/>
      <c r="K135" s="318"/>
      <c r="L135" s="319"/>
    </row>
    <row r="136" spans="3:14" ht="12" customHeight="1" x14ac:dyDescent="0.2">
      <c r="C136" s="618"/>
      <c r="D136" s="618"/>
      <c r="E136" s="618"/>
      <c r="F136" s="618"/>
      <c r="G136" s="618"/>
      <c r="H136" s="618"/>
      <c r="I136" s="618"/>
      <c r="J136" s="618"/>
      <c r="K136" s="618"/>
      <c r="L136" s="618"/>
    </row>
  </sheetData>
  <mergeCells count="16">
    <mergeCell ref="C126:K126"/>
    <mergeCell ref="C136:L136"/>
    <mergeCell ref="K3:L3"/>
    <mergeCell ref="C3:E3"/>
    <mergeCell ref="C134:E134"/>
    <mergeCell ref="I4:K4"/>
    <mergeCell ref="C4:C5"/>
    <mergeCell ref="D4:D5"/>
    <mergeCell ref="E4:E5"/>
    <mergeCell ref="F4:F5"/>
    <mergeCell ref="G4:G5"/>
    <mergeCell ref="L4:L5"/>
    <mergeCell ref="C129:E129"/>
    <mergeCell ref="C131:K131"/>
    <mergeCell ref="H4:H5"/>
    <mergeCell ref="C124:E124"/>
  </mergeCells>
  <phoneticPr fontId="2" type="noConversion"/>
  <pageMargins left="0.78740157480314965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  <rowBreaks count="2" manualBreakCount="2">
    <brk id="46" min="2" max="11" man="1"/>
    <brk id="82" min="2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B1:S95"/>
  <sheetViews>
    <sheetView topLeftCell="F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9" width="14.7109375" style="9" customWidth="1"/>
    <col min="10" max="10" width="13" style="9" customWidth="1"/>
    <col min="11" max="11" width="13.42578125" style="9" customWidth="1"/>
    <col min="12" max="13" width="14.7109375" style="9" customWidth="1"/>
    <col min="14" max="14" width="15.7109375" style="9" customWidth="1"/>
    <col min="15" max="15" width="6.85546875" style="145" customWidth="1"/>
    <col min="16" max="16" width="9.140625" style="9"/>
    <col min="17" max="17" width="9.5703125" style="9" bestFit="1" customWidth="1"/>
    <col min="18" max="16384" width="9.140625" style="9"/>
  </cols>
  <sheetData>
    <row r="1" spans="2:19" ht="13.5" thickBot="1" x14ac:dyDescent="0.25"/>
    <row r="2" spans="2:19" s="63" customFormat="1" ht="20.100000000000001" customHeight="1" thickTop="1" thickBot="1" x14ac:dyDescent="0.25">
      <c r="B2" s="638" t="s">
        <v>547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40"/>
    </row>
    <row r="3" spans="2:19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9" s="1" customFormat="1" ht="39" customHeight="1" x14ac:dyDescent="0.2">
      <c r="B4" s="645" t="s">
        <v>373</v>
      </c>
      <c r="C4" s="647" t="s">
        <v>548</v>
      </c>
      <c r="D4" s="647" t="s">
        <v>549</v>
      </c>
      <c r="E4" s="656" t="s">
        <v>550</v>
      </c>
      <c r="F4" s="651" t="s">
        <v>374</v>
      </c>
      <c r="G4" s="649" t="s">
        <v>375</v>
      </c>
      <c r="H4" s="651" t="s">
        <v>148</v>
      </c>
      <c r="I4" s="651" t="s">
        <v>149</v>
      </c>
      <c r="J4" s="653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9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57" t="s">
        <v>377</v>
      </c>
      <c r="M5" s="159" t="s">
        <v>378</v>
      </c>
      <c r="N5" s="448" t="s">
        <v>379</v>
      </c>
      <c r="O5" s="655"/>
    </row>
    <row r="6" spans="2:19" s="2" customFormat="1" ht="12.7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9" s="2" customFormat="1" ht="12.95" customHeight="1" x14ac:dyDescent="0.25">
      <c r="B7" s="6">
        <v>10</v>
      </c>
      <c r="C7" s="7" t="s">
        <v>554</v>
      </c>
      <c r="D7" s="7" t="s">
        <v>555</v>
      </c>
      <c r="E7" s="285" t="s">
        <v>556</v>
      </c>
      <c r="F7" s="5"/>
      <c r="G7" s="5"/>
      <c r="H7" s="5"/>
      <c r="I7" s="5"/>
      <c r="J7" s="5"/>
      <c r="K7" s="5"/>
      <c r="L7" s="4"/>
      <c r="M7" s="5"/>
      <c r="N7" s="479"/>
      <c r="O7" s="531"/>
    </row>
    <row r="8" spans="2:19" s="1" customFormat="1" ht="12.95" customHeight="1" x14ac:dyDescent="0.25">
      <c r="B8" s="12"/>
      <c r="C8" s="8"/>
      <c r="D8" s="8"/>
      <c r="E8" s="8"/>
      <c r="F8" s="118">
        <v>611000</v>
      </c>
      <c r="G8" s="133"/>
      <c r="H8" s="8" t="s">
        <v>388</v>
      </c>
      <c r="I8" s="151">
        <f t="shared" ref="I8:J8" si="0">SUM(I9:I10)</f>
        <v>863790</v>
      </c>
      <c r="J8" s="151">
        <f t="shared" si="0"/>
        <v>863790</v>
      </c>
      <c r="K8" s="151">
        <f>SUM(K9:K10)</f>
        <v>446343</v>
      </c>
      <c r="L8" s="320">
        <f>SUM(L9:L10)</f>
        <v>926440</v>
      </c>
      <c r="M8" s="97">
        <f>SUM(M9:M10)</f>
        <v>0</v>
      </c>
      <c r="N8" s="480">
        <f>SUM(N9:N10)</f>
        <v>926440</v>
      </c>
      <c r="O8" s="532">
        <f t="shared" ref="O8:O30" si="1">IF(J8=0,"",N8/J8*100)</f>
        <v>107.25292026997302</v>
      </c>
      <c r="Q8" s="44"/>
    </row>
    <row r="9" spans="2:19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727640</v>
      </c>
      <c r="J9" s="152">
        <v>727640</v>
      </c>
      <c r="K9" s="152">
        <v>367702</v>
      </c>
      <c r="L9" s="250">
        <f>758990+1000</f>
        <v>759990</v>
      </c>
      <c r="M9" s="96">
        <v>0</v>
      </c>
      <c r="N9" s="481">
        <f>SUM(L9:M9)</f>
        <v>759990</v>
      </c>
      <c r="O9" s="533">
        <f t="shared" si="1"/>
        <v>104.4458798306855</v>
      </c>
      <c r="Q9" s="44"/>
      <c r="R9" s="45"/>
      <c r="S9" s="45"/>
    </row>
    <row r="10" spans="2:19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136150</v>
      </c>
      <c r="J10" s="152">
        <v>136150</v>
      </c>
      <c r="K10" s="152">
        <v>78641</v>
      </c>
      <c r="L10" s="250">
        <f>156250+1000+23*400</f>
        <v>166450</v>
      </c>
      <c r="M10" s="96">
        <v>0</v>
      </c>
      <c r="N10" s="481">
        <f t="shared" ref="N10" si="2">SUM(L10:M10)</f>
        <v>166450</v>
      </c>
      <c r="O10" s="533">
        <f t="shared" si="1"/>
        <v>122.25486595666544</v>
      </c>
      <c r="Q10" s="44"/>
    </row>
    <row r="11" spans="2:19" ht="8.1" customHeight="1" x14ac:dyDescent="0.2">
      <c r="B11" s="10"/>
      <c r="C11" s="11"/>
      <c r="D11" s="11"/>
      <c r="E11" s="11"/>
      <c r="F11" s="119"/>
      <c r="G11" s="134"/>
      <c r="H11" s="149"/>
      <c r="I11" s="152"/>
      <c r="J11" s="152"/>
      <c r="K11" s="152"/>
      <c r="L11" s="250"/>
      <c r="M11" s="96"/>
      <c r="N11" s="481"/>
      <c r="O11" s="533" t="str">
        <f t="shared" si="1"/>
        <v/>
      </c>
      <c r="Q11" s="44"/>
    </row>
    <row r="12" spans="2:19" ht="12.95" customHeight="1" x14ac:dyDescent="0.25">
      <c r="B12" s="12"/>
      <c r="C12" s="8"/>
      <c r="D12" s="8"/>
      <c r="E12" s="8"/>
      <c r="F12" s="118">
        <v>612000</v>
      </c>
      <c r="G12" s="133"/>
      <c r="H12" s="8" t="s">
        <v>394</v>
      </c>
      <c r="I12" s="151">
        <f t="shared" ref="I12:J12" si="3">I13+I14</f>
        <v>77130</v>
      </c>
      <c r="J12" s="151">
        <f t="shared" si="3"/>
        <v>77130</v>
      </c>
      <c r="K12" s="151">
        <f>K13+K14</f>
        <v>38609</v>
      </c>
      <c r="L12" s="320">
        <f t="shared" ref="L12:N12" si="4">L13+L14</f>
        <v>80000</v>
      </c>
      <c r="M12" s="97">
        <f t="shared" si="4"/>
        <v>0</v>
      </c>
      <c r="N12" s="480">
        <f t="shared" si="4"/>
        <v>80000</v>
      </c>
      <c r="O12" s="532">
        <f t="shared" si="1"/>
        <v>103.72099053545962</v>
      </c>
      <c r="Q12" s="44"/>
    </row>
    <row r="13" spans="2:19" s="1" customFormat="1" ht="12.95" customHeight="1" x14ac:dyDescent="0.2">
      <c r="B13" s="10"/>
      <c r="C13" s="11"/>
      <c r="D13" s="11"/>
      <c r="E13" s="11"/>
      <c r="F13" s="119">
        <v>612100</v>
      </c>
      <c r="G13" s="134"/>
      <c r="H13" s="13" t="s">
        <v>395</v>
      </c>
      <c r="I13" s="152">
        <v>77130</v>
      </c>
      <c r="J13" s="152">
        <v>77130</v>
      </c>
      <c r="K13" s="152">
        <v>38609</v>
      </c>
      <c r="L13" s="250">
        <f>79700+300</f>
        <v>80000</v>
      </c>
      <c r="M13" s="96">
        <v>0</v>
      </c>
      <c r="N13" s="481">
        <f>SUM(L13:M13)</f>
        <v>80000</v>
      </c>
      <c r="O13" s="533">
        <f t="shared" si="1"/>
        <v>103.72099053545962</v>
      </c>
      <c r="Q13" s="44"/>
    </row>
    <row r="14" spans="2:19" ht="8.1" customHeight="1" x14ac:dyDescent="0.2">
      <c r="B14" s="10"/>
      <c r="C14" s="11"/>
      <c r="D14" s="11"/>
      <c r="E14" s="11"/>
      <c r="F14" s="119"/>
      <c r="G14" s="134"/>
      <c r="H14" s="11"/>
      <c r="I14" s="152"/>
      <c r="J14" s="152"/>
      <c r="K14" s="152"/>
      <c r="L14" s="250"/>
      <c r="M14" s="27"/>
      <c r="N14" s="457"/>
      <c r="O14" s="533" t="str">
        <f t="shared" si="1"/>
        <v/>
      </c>
      <c r="Q14" s="44"/>
    </row>
    <row r="15" spans="2:19" ht="12.95" customHeight="1" x14ac:dyDescent="0.25">
      <c r="B15" s="12"/>
      <c r="C15" s="8"/>
      <c r="D15" s="8"/>
      <c r="E15" s="8"/>
      <c r="F15" s="118">
        <v>613000</v>
      </c>
      <c r="G15" s="133"/>
      <c r="H15" s="8" t="s">
        <v>400</v>
      </c>
      <c r="I15" s="151">
        <f t="shared" ref="I15:J15" si="5">SUM(I16:I24)</f>
        <v>456760</v>
      </c>
      <c r="J15" s="151">
        <f t="shared" si="5"/>
        <v>456760</v>
      </c>
      <c r="K15" s="151">
        <f>SUM(K16:K24)</f>
        <v>168952</v>
      </c>
      <c r="L15" s="321">
        <f>SUM(L16:L24)</f>
        <v>481060</v>
      </c>
      <c r="M15" s="116">
        <f>SUM(M16:M24)</f>
        <v>0</v>
      </c>
      <c r="N15" s="455">
        <f>SUM(N16:N24)</f>
        <v>481060</v>
      </c>
      <c r="O15" s="532">
        <f t="shared" si="1"/>
        <v>105.32008056747526</v>
      </c>
      <c r="Q15" s="44"/>
    </row>
    <row r="16" spans="2:19" s="1" customFormat="1" ht="12.95" customHeight="1" x14ac:dyDescent="0.2">
      <c r="B16" s="10"/>
      <c r="C16" s="11"/>
      <c r="D16" s="11"/>
      <c r="E16" s="11"/>
      <c r="F16" s="119">
        <v>613100</v>
      </c>
      <c r="G16" s="134"/>
      <c r="H16" s="11" t="s">
        <v>401</v>
      </c>
      <c r="I16" s="152">
        <v>7000</v>
      </c>
      <c r="J16" s="152">
        <v>7000</v>
      </c>
      <c r="K16" s="152">
        <v>1045</v>
      </c>
      <c r="L16" s="250">
        <v>7000</v>
      </c>
      <c r="M16" s="152">
        <v>0</v>
      </c>
      <c r="N16" s="481">
        <f t="shared" ref="N16:N24" si="6">SUM(L16:M16)</f>
        <v>7000</v>
      </c>
      <c r="O16" s="533">
        <f t="shared" si="1"/>
        <v>100</v>
      </c>
      <c r="Q16" s="44"/>
    </row>
    <row r="17" spans="2:17" ht="12.95" customHeight="1" x14ac:dyDescent="0.2">
      <c r="B17" s="10"/>
      <c r="C17" s="11"/>
      <c r="D17" s="11"/>
      <c r="E17" s="11"/>
      <c r="F17" s="119">
        <v>613200</v>
      </c>
      <c r="G17" s="134"/>
      <c r="H17" s="11" t="s">
        <v>402</v>
      </c>
      <c r="I17" s="152">
        <v>8500</v>
      </c>
      <c r="J17" s="152">
        <v>8500</v>
      </c>
      <c r="K17" s="152">
        <v>1695</v>
      </c>
      <c r="L17" s="250">
        <v>8500</v>
      </c>
      <c r="M17" s="152">
        <v>0</v>
      </c>
      <c r="N17" s="481">
        <f t="shared" si="6"/>
        <v>8500</v>
      </c>
      <c r="O17" s="533">
        <f t="shared" si="1"/>
        <v>100</v>
      </c>
      <c r="Q17" s="44"/>
    </row>
    <row r="18" spans="2:17" ht="12.95" customHeight="1" x14ac:dyDescent="0.2">
      <c r="B18" s="10"/>
      <c r="C18" s="11"/>
      <c r="D18" s="11"/>
      <c r="E18" s="11"/>
      <c r="F18" s="119">
        <v>613300</v>
      </c>
      <c r="G18" s="134"/>
      <c r="H18" s="11" t="s">
        <v>403</v>
      </c>
      <c r="I18" s="152">
        <v>8000</v>
      </c>
      <c r="J18" s="152">
        <v>8000</v>
      </c>
      <c r="K18" s="152">
        <v>2939</v>
      </c>
      <c r="L18" s="250">
        <v>8000</v>
      </c>
      <c r="M18" s="152">
        <v>0</v>
      </c>
      <c r="N18" s="481">
        <f t="shared" si="6"/>
        <v>8000</v>
      </c>
      <c r="O18" s="533">
        <f t="shared" si="1"/>
        <v>100</v>
      </c>
      <c r="Q18" s="44"/>
    </row>
    <row r="19" spans="2:17" ht="12.95" customHeight="1" x14ac:dyDescent="0.2">
      <c r="B19" s="10"/>
      <c r="C19" s="11"/>
      <c r="D19" s="11"/>
      <c r="E19" s="11"/>
      <c r="F19" s="119">
        <v>613400</v>
      </c>
      <c r="G19" s="134"/>
      <c r="H19" s="11" t="s">
        <v>404</v>
      </c>
      <c r="I19" s="152">
        <v>5000</v>
      </c>
      <c r="J19" s="152">
        <v>5000</v>
      </c>
      <c r="K19" s="152">
        <v>2308</v>
      </c>
      <c r="L19" s="250">
        <v>5000</v>
      </c>
      <c r="M19" s="152">
        <v>0</v>
      </c>
      <c r="N19" s="481">
        <f t="shared" si="6"/>
        <v>5000</v>
      </c>
      <c r="O19" s="533">
        <f t="shared" si="1"/>
        <v>100</v>
      </c>
      <c r="Q19" s="44"/>
    </row>
    <row r="20" spans="2:17" ht="12.95" customHeight="1" x14ac:dyDescent="0.2">
      <c r="B20" s="10"/>
      <c r="C20" s="11"/>
      <c r="D20" s="11"/>
      <c r="E20" s="11"/>
      <c r="F20" s="119">
        <v>613500</v>
      </c>
      <c r="G20" s="134"/>
      <c r="H20" s="11" t="s">
        <v>408</v>
      </c>
      <c r="I20" s="152">
        <v>15000</v>
      </c>
      <c r="J20" s="152">
        <v>15000</v>
      </c>
      <c r="K20" s="152">
        <v>4530</v>
      </c>
      <c r="L20" s="250">
        <v>15000</v>
      </c>
      <c r="M20" s="152">
        <v>0</v>
      </c>
      <c r="N20" s="481">
        <f t="shared" si="6"/>
        <v>15000</v>
      </c>
      <c r="O20" s="533">
        <f t="shared" si="1"/>
        <v>100</v>
      </c>
      <c r="Q20" s="44"/>
    </row>
    <row r="21" spans="2:17" ht="12.95" customHeight="1" x14ac:dyDescent="0.2">
      <c r="B21" s="10"/>
      <c r="C21" s="11"/>
      <c r="D21" s="11"/>
      <c r="E21" s="11"/>
      <c r="F21" s="119">
        <v>613600</v>
      </c>
      <c r="G21" s="134"/>
      <c r="H21" s="11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  <c r="Q21" s="44"/>
    </row>
    <row r="22" spans="2:17" ht="12.95" customHeight="1" x14ac:dyDescent="0.2">
      <c r="B22" s="10"/>
      <c r="C22" s="11"/>
      <c r="D22" s="11"/>
      <c r="E22" s="11"/>
      <c r="F22" s="119">
        <v>613700</v>
      </c>
      <c r="G22" s="134"/>
      <c r="H22" s="11" t="s">
        <v>410</v>
      </c>
      <c r="I22" s="152">
        <v>7000</v>
      </c>
      <c r="J22" s="152">
        <v>7000</v>
      </c>
      <c r="K22" s="152">
        <v>1888</v>
      </c>
      <c r="L22" s="250">
        <v>7000</v>
      </c>
      <c r="M22" s="152">
        <v>0</v>
      </c>
      <c r="N22" s="481">
        <f t="shared" si="6"/>
        <v>7000</v>
      </c>
      <c r="O22" s="533">
        <f t="shared" si="1"/>
        <v>100</v>
      </c>
      <c r="Q22" s="44"/>
    </row>
    <row r="23" spans="2:17" ht="12.95" customHeight="1" x14ac:dyDescent="0.2">
      <c r="B23" s="10"/>
      <c r="C23" s="11"/>
      <c r="D23" s="11"/>
      <c r="E23" s="11"/>
      <c r="F23" s="119">
        <v>613800</v>
      </c>
      <c r="G23" s="134"/>
      <c r="H23" s="11" t="s">
        <v>414</v>
      </c>
      <c r="I23" s="152">
        <v>3820</v>
      </c>
      <c r="J23" s="152">
        <v>3820</v>
      </c>
      <c r="K23" s="152">
        <v>1180</v>
      </c>
      <c r="L23" s="250">
        <v>3820</v>
      </c>
      <c r="M23" s="152">
        <v>0</v>
      </c>
      <c r="N23" s="481">
        <f t="shared" si="6"/>
        <v>3820</v>
      </c>
      <c r="O23" s="533">
        <f t="shared" si="1"/>
        <v>100</v>
      </c>
      <c r="Q23" s="44"/>
    </row>
    <row r="24" spans="2:17" ht="12.95" customHeight="1" x14ac:dyDescent="0.2">
      <c r="B24" s="10"/>
      <c r="C24" s="11"/>
      <c r="D24" s="11"/>
      <c r="E24" s="11"/>
      <c r="F24" s="119">
        <v>613900</v>
      </c>
      <c r="G24" s="134"/>
      <c r="H24" s="11" t="s">
        <v>417</v>
      </c>
      <c r="I24" s="152">
        <v>402440</v>
      </c>
      <c r="J24" s="152">
        <v>402440</v>
      </c>
      <c r="K24" s="152">
        <v>153367</v>
      </c>
      <c r="L24" s="250">
        <v>426740</v>
      </c>
      <c r="M24" s="152">
        <v>0</v>
      </c>
      <c r="N24" s="481">
        <f t="shared" si="6"/>
        <v>426740</v>
      </c>
      <c r="O24" s="533">
        <f t="shared" si="1"/>
        <v>106.03816718020079</v>
      </c>
      <c r="P24" s="275"/>
      <c r="Q24" s="44"/>
    </row>
    <row r="25" spans="2:17" ht="8.1" customHeight="1" x14ac:dyDescent="0.2">
      <c r="B25" s="10"/>
      <c r="C25" s="11"/>
      <c r="D25" s="11"/>
      <c r="E25" s="11"/>
      <c r="F25" s="119"/>
      <c r="G25" s="134"/>
      <c r="H25" s="11"/>
      <c r="I25" s="152"/>
      <c r="J25" s="152"/>
      <c r="K25" s="152"/>
      <c r="L25" s="250"/>
      <c r="M25" s="27"/>
      <c r="N25" s="580"/>
      <c r="O25" s="533" t="str">
        <f t="shared" si="1"/>
        <v/>
      </c>
      <c r="Q25" s="44"/>
    </row>
    <row r="26" spans="2:17" ht="12.95" customHeight="1" x14ac:dyDescent="0.25">
      <c r="B26" s="12"/>
      <c r="C26" s="8"/>
      <c r="D26" s="8"/>
      <c r="E26" s="8"/>
      <c r="F26" s="118">
        <v>821000</v>
      </c>
      <c r="G26" s="133"/>
      <c r="H26" s="8" t="s">
        <v>526</v>
      </c>
      <c r="I26" s="151">
        <f t="shared" ref="I26:J26" si="7">SUM(I27:I29)</f>
        <v>30000</v>
      </c>
      <c r="J26" s="151">
        <f t="shared" si="7"/>
        <v>30000</v>
      </c>
      <c r="K26" s="151">
        <f t="shared" ref="K26" si="8">SUM(K27:K29)</f>
        <v>6665</v>
      </c>
      <c r="L26" s="320">
        <f t="shared" ref="L26:N26" si="9">SUM(L27:L29)</f>
        <v>10000</v>
      </c>
      <c r="M26" s="14">
        <f t="shared" si="9"/>
        <v>0</v>
      </c>
      <c r="N26" s="455">
        <f t="shared" si="9"/>
        <v>10000</v>
      </c>
      <c r="O26" s="532">
        <f t="shared" si="1"/>
        <v>33.333333333333329</v>
      </c>
      <c r="Q26" s="44"/>
    </row>
    <row r="27" spans="2:17" s="1" customFormat="1" ht="12.95" customHeight="1" x14ac:dyDescent="0.2">
      <c r="B27" s="10"/>
      <c r="C27" s="11"/>
      <c r="D27" s="11"/>
      <c r="E27" s="11"/>
      <c r="F27" s="119">
        <v>821200</v>
      </c>
      <c r="G27" s="134"/>
      <c r="H27" s="11" t="s">
        <v>528</v>
      </c>
      <c r="I27" s="152">
        <v>20000</v>
      </c>
      <c r="J27" s="152">
        <v>20000</v>
      </c>
      <c r="K27" s="152">
        <v>0</v>
      </c>
      <c r="L27" s="250">
        <v>0</v>
      </c>
      <c r="M27" s="27">
        <v>0</v>
      </c>
      <c r="N27" s="481">
        <f t="shared" ref="N27:N28" si="10">SUM(L27:M27)</f>
        <v>0</v>
      </c>
      <c r="O27" s="533">
        <f t="shared" si="1"/>
        <v>0</v>
      </c>
      <c r="Q27" s="44"/>
    </row>
    <row r="28" spans="2:17" ht="12.95" customHeight="1" x14ac:dyDescent="0.2">
      <c r="B28" s="10"/>
      <c r="C28" s="11"/>
      <c r="D28" s="11"/>
      <c r="E28" s="11"/>
      <c r="F28" s="119">
        <v>821300</v>
      </c>
      <c r="G28" s="134"/>
      <c r="H28" s="11" t="s">
        <v>529</v>
      </c>
      <c r="I28" s="152">
        <v>5000</v>
      </c>
      <c r="J28" s="152">
        <v>5000</v>
      </c>
      <c r="K28" s="152">
        <v>2963</v>
      </c>
      <c r="L28" s="250">
        <v>5000</v>
      </c>
      <c r="M28" s="27">
        <v>0</v>
      </c>
      <c r="N28" s="481">
        <f t="shared" si="10"/>
        <v>5000</v>
      </c>
      <c r="O28" s="533">
        <f t="shared" si="1"/>
        <v>100</v>
      </c>
      <c r="Q28" s="44"/>
    </row>
    <row r="29" spans="2:17" ht="12.95" customHeight="1" x14ac:dyDescent="0.2">
      <c r="B29" s="10"/>
      <c r="C29" s="11"/>
      <c r="D29" s="11"/>
      <c r="E29" s="11"/>
      <c r="F29" s="119">
        <v>821500</v>
      </c>
      <c r="G29" s="134"/>
      <c r="H29" s="149" t="s">
        <v>532</v>
      </c>
      <c r="I29" s="152">
        <v>5000</v>
      </c>
      <c r="J29" s="152">
        <v>5000</v>
      </c>
      <c r="K29" s="152">
        <v>3702</v>
      </c>
      <c r="L29" s="250">
        <v>5000</v>
      </c>
      <c r="M29" s="27">
        <v>0</v>
      </c>
      <c r="N29" s="481">
        <f t="shared" ref="N29" si="11">SUM(L29:M29)</f>
        <v>5000</v>
      </c>
      <c r="O29" s="533">
        <f t="shared" si="1"/>
        <v>100</v>
      </c>
      <c r="Q29" s="44"/>
    </row>
    <row r="30" spans="2:17" ht="8.1" customHeight="1" x14ac:dyDescent="0.2">
      <c r="B30" s="10"/>
      <c r="C30" s="11"/>
      <c r="D30" s="11"/>
      <c r="E30" s="11"/>
      <c r="F30" s="119"/>
      <c r="G30" s="134"/>
      <c r="H30" s="11"/>
      <c r="I30" s="152"/>
      <c r="J30" s="152"/>
      <c r="K30" s="152"/>
      <c r="L30" s="250"/>
      <c r="M30" s="27"/>
      <c r="N30" s="457"/>
      <c r="O30" s="533" t="str">
        <f t="shared" si="1"/>
        <v/>
      </c>
      <c r="Q30" s="44"/>
    </row>
    <row r="31" spans="2:17" ht="12.95" customHeight="1" x14ac:dyDescent="0.25">
      <c r="B31" s="12"/>
      <c r="C31" s="8"/>
      <c r="D31" s="8"/>
      <c r="E31" s="8"/>
      <c r="F31" s="118"/>
      <c r="G31" s="133"/>
      <c r="H31" s="8" t="s">
        <v>540</v>
      </c>
      <c r="I31" s="246">
        <v>23</v>
      </c>
      <c r="J31" s="246">
        <v>23</v>
      </c>
      <c r="K31" s="246">
        <v>23</v>
      </c>
      <c r="L31" s="322">
        <v>23</v>
      </c>
      <c r="M31" s="18"/>
      <c r="N31" s="450">
        <v>23</v>
      </c>
      <c r="O31" s="533"/>
      <c r="Q31" s="44"/>
    </row>
    <row r="32" spans="2:17" s="1" customFormat="1" ht="12.95" customHeight="1" x14ac:dyDescent="0.25">
      <c r="B32" s="12"/>
      <c r="C32" s="8"/>
      <c r="D32" s="8"/>
      <c r="E32" s="8"/>
      <c r="F32" s="118"/>
      <c r="G32" s="133"/>
      <c r="H32" s="8" t="s">
        <v>557</v>
      </c>
      <c r="I32" s="14">
        <f t="shared" ref="I32:N32" si="12">I8+I12+I15+I26</f>
        <v>1427680</v>
      </c>
      <c r="J32" s="14">
        <f t="shared" si="12"/>
        <v>1427680</v>
      </c>
      <c r="K32" s="14">
        <f t="shared" si="12"/>
        <v>660569</v>
      </c>
      <c r="L32" s="259">
        <f t="shared" si="12"/>
        <v>1497500</v>
      </c>
      <c r="M32" s="14">
        <f t="shared" si="12"/>
        <v>0</v>
      </c>
      <c r="N32" s="455">
        <f t="shared" si="12"/>
        <v>1497500</v>
      </c>
      <c r="O32" s="532">
        <f>IF(J32=0,"",N32/J32*100)</f>
        <v>104.89045164182448</v>
      </c>
      <c r="Q32" s="44"/>
    </row>
    <row r="33" spans="2:15" s="1" customFormat="1" ht="12.95" customHeight="1" x14ac:dyDescent="0.25">
      <c r="B33" s="12"/>
      <c r="C33" s="8"/>
      <c r="D33" s="8"/>
      <c r="E33" s="8"/>
      <c r="F33" s="118"/>
      <c r="G33" s="133"/>
      <c r="H33" s="8" t="s">
        <v>558</v>
      </c>
      <c r="I33" s="14">
        <f>I32</f>
        <v>1427680</v>
      </c>
      <c r="J33" s="14">
        <f t="shared" ref="J33:L34" si="13">J32</f>
        <v>1427680</v>
      </c>
      <c r="K33" s="14">
        <f t="shared" ref="K33" si="14">K32</f>
        <v>660569</v>
      </c>
      <c r="L33" s="259">
        <f t="shared" si="13"/>
        <v>1497500</v>
      </c>
      <c r="M33" s="14">
        <f>M32</f>
        <v>0</v>
      </c>
      <c r="N33" s="455">
        <f>N32</f>
        <v>1497500</v>
      </c>
      <c r="O33" s="532">
        <f>IF(J33=0,"",N33/J33*100)</f>
        <v>104.89045164182448</v>
      </c>
    </row>
    <row r="34" spans="2:15" s="1" customFormat="1" ht="12.95" customHeight="1" x14ac:dyDescent="0.25">
      <c r="B34" s="12"/>
      <c r="C34" s="8"/>
      <c r="D34" s="8"/>
      <c r="E34" s="8"/>
      <c r="F34" s="118"/>
      <c r="G34" s="133"/>
      <c r="H34" s="8" t="s">
        <v>559</v>
      </c>
      <c r="I34" s="14">
        <f>I33</f>
        <v>1427680</v>
      </c>
      <c r="J34" s="14">
        <f t="shared" si="13"/>
        <v>1427680</v>
      </c>
      <c r="K34" s="14">
        <f t="shared" ref="K34" si="15">K33</f>
        <v>660569</v>
      </c>
      <c r="L34" s="259">
        <f t="shared" si="13"/>
        <v>1497500</v>
      </c>
      <c r="M34" s="14">
        <f>M33</f>
        <v>0</v>
      </c>
      <c r="N34" s="455">
        <f>N33</f>
        <v>1497500</v>
      </c>
      <c r="O34" s="532">
        <f>IF(J34=0,"",N34/J34*100)</f>
        <v>104.89045164182448</v>
      </c>
    </row>
    <row r="35" spans="2:15" s="1" customFormat="1" ht="8.1" customHeight="1" thickBot="1" x14ac:dyDescent="0.25">
      <c r="B35" s="15"/>
      <c r="C35" s="16"/>
      <c r="D35" s="16"/>
      <c r="E35" s="16"/>
      <c r="F35" s="120"/>
      <c r="G35" s="135"/>
      <c r="H35" s="16"/>
      <c r="I35" s="29"/>
      <c r="J35" s="29"/>
      <c r="K35" s="29"/>
      <c r="L35" s="260"/>
      <c r="M35" s="29"/>
      <c r="N35" s="482"/>
      <c r="O35" s="534"/>
    </row>
    <row r="36" spans="2:15" ht="12.95" customHeight="1" x14ac:dyDescent="0.2">
      <c r="F36" s="121"/>
      <c r="G36" s="136"/>
      <c r="N36" s="162"/>
    </row>
    <row r="37" spans="2:15" ht="12.95" customHeight="1" x14ac:dyDescent="0.2">
      <c r="F37" s="121"/>
      <c r="G37" s="136"/>
      <c r="L37" s="275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2.95" customHeight="1" x14ac:dyDescent="0.2">
      <c r="F58" s="121"/>
      <c r="G58" s="136"/>
      <c r="N58" s="162"/>
    </row>
    <row r="59" spans="6:14" ht="17.100000000000001" customHeight="1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36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ht="14.25" x14ac:dyDescent="0.2">
      <c r="F89" s="121"/>
      <c r="G89" s="121"/>
      <c r="N89" s="162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  <row r="95" spans="6:14" x14ac:dyDescent="0.2">
      <c r="G95" s="121"/>
    </row>
  </sheetData>
  <mergeCells count="14">
    <mergeCell ref="B2:O2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O4:O5"/>
    <mergeCell ref="H4:H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1:Q92"/>
  <sheetViews>
    <sheetView topLeftCell="G16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7" ht="7.5" customHeight="1" thickBot="1" x14ac:dyDescent="0.25"/>
    <row r="2" spans="2:17" s="63" customFormat="1" ht="20.100000000000001" customHeight="1" thickTop="1" thickBot="1" x14ac:dyDescent="0.25">
      <c r="B2" s="638" t="s">
        <v>560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7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7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1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7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62"/>
      <c r="K5" s="658"/>
      <c r="L5" s="262" t="s">
        <v>377</v>
      </c>
      <c r="M5" s="160" t="s">
        <v>378</v>
      </c>
      <c r="N5" s="448" t="s">
        <v>379</v>
      </c>
      <c r="O5" s="655"/>
    </row>
    <row r="6" spans="2:17" s="2" customFormat="1" ht="11.2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7" s="2" customFormat="1" ht="12.95" customHeight="1" x14ac:dyDescent="0.25">
      <c r="B7" s="6" t="s">
        <v>561</v>
      </c>
      <c r="C7" s="7" t="s">
        <v>554</v>
      </c>
      <c r="D7" s="7" t="s">
        <v>555</v>
      </c>
      <c r="E7" s="285" t="s">
        <v>556</v>
      </c>
      <c r="F7" s="5"/>
      <c r="G7" s="5"/>
      <c r="H7" s="5"/>
      <c r="I7" s="55"/>
      <c r="J7" s="255"/>
      <c r="K7" s="255"/>
      <c r="L7" s="4"/>
      <c r="M7" s="55"/>
      <c r="N7" s="483"/>
      <c r="O7" s="531"/>
    </row>
    <row r="8" spans="2:17" s="2" customFormat="1" ht="12.95" customHeight="1" x14ac:dyDescent="0.25">
      <c r="B8" s="6"/>
      <c r="C8" s="7"/>
      <c r="D8" s="7"/>
      <c r="E8" s="7"/>
      <c r="F8" s="118">
        <v>600000</v>
      </c>
      <c r="G8" s="133"/>
      <c r="H8" s="294" t="s">
        <v>383</v>
      </c>
      <c r="I8" s="266">
        <f t="shared" ref="I8:K8" si="0">I9+I10+I11</f>
        <v>545000</v>
      </c>
      <c r="J8" s="266">
        <f t="shared" si="0"/>
        <v>545000</v>
      </c>
      <c r="K8" s="266">
        <f t="shared" si="0"/>
        <v>233071</v>
      </c>
      <c r="L8" s="322">
        <f t="shared" ref="L8" si="1">L9+L10+L11</f>
        <v>645000</v>
      </c>
      <c r="M8" s="114">
        <f>M9+M10+M11</f>
        <v>0</v>
      </c>
      <c r="N8" s="484">
        <f>N9+N10+N11</f>
        <v>645000</v>
      </c>
      <c r="O8" s="532">
        <f t="shared" ref="O8:O50" si="2">IF(J8=0,"",N8/J8*100)</f>
        <v>118.34862385321101</v>
      </c>
    </row>
    <row r="9" spans="2:17" s="2" customFormat="1" ht="12.95" customHeight="1" x14ac:dyDescent="0.2">
      <c r="B9" s="6"/>
      <c r="C9" s="7"/>
      <c r="D9" s="7"/>
      <c r="E9" s="7"/>
      <c r="F9" s="119">
        <v>600000</v>
      </c>
      <c r="G9" s="134"/>
      <c r="H9" s="295" t="s">
        <v>384</v>
      </c>
      <c r="I9" s="152">
        <v>500000</v>
      </c>
      <c r="J9" s="152">
        <v>500000</v>
      </c>
      <c r="K9" s="152">
        <v>211071</v>
      </c>
      <c r="L9" s="250">
        <v>600000</v>
      </c>
      <c r="M9" s="111">
        <v>0</v>
      </c>
      <c r="N9" s="485">
        <f t="shared" ref="N9:N11" si="3">SUM(L9:M9)</f>
        <v>600000</v>
      </c>
      <c r="O9" s="533">
        <f t="shared" si="2"/>
        <v>120</v>
      </c>
    </row>
    <row r="10" spans="2:17" s="2" customFormat="1" ht="12.95" customHeight="1" x14ac:dyDescent="0.2">
      <c r="B10" s="6"/>
      <c r="C10" s="7"/>
      <c r="D10" s="7"/>
      <c r="E10" s="7"/>
      <c r="F10" s="119">
        <v>600000</v>
      </c>
      <c r="G10" s="134"/>
      <c r="H10" s="295" t="s">
        <v>385</v>
      </c>
      <c r="I10" s="152">
        <v>30000</v>
      </c>
      <c r="J10" s="152">
        <v>30000</v>
      </c>
      <c r="K10" s="152">
        <v>14400</v>
      </c>
      <c r="L10" s="250">
        <v>30000</v>
      </c>
      <c r="M10" s="111">
        <v>0</v>
      </c>
      <c r="N10" s="485">
        <f t="shared" si="3"/>
        <v>30000</v>
      </c>
      <c r="O10" s="533">
        <f t="shared" si="2"/>
        <v>100</v>
      </c>
    </row>
    <row r="11" spans="2:17" s="2" customFormat="1" ht="12.95" customHeight="1" x14ac:dyDescent="0.2">
      <c r="B11" s="6"/>
      <c r="C11" s="7"/>
      <c r="D11" s="7"/>
      <c r="E11" s="7"/>
      <c r="F11" s="119">
        <v>600000</v>
      </c>
      <c r="G11" s="134"/>
      <c r="H11" s="295" t="s">
        <v>386</v>
      </c>
      <c r="I11" s="152">
        <v>15000</v>
      </c>
      <c r="J11" s="152">
        <v>15000</v>
      </c>
      <c r="K11" s="152">
        <v>7600</v>
      </c>
      <c r="L11" s="250">
        <v>15000</v>
      </c>
      <c r="M11" s="111">
        <v>0</v>
      </c>
      <c r="N11" s="485">
        <f t="shared" si="3"/>
        <v>15000</v>
      </c>
      <c r="O11" s="533">
        <f t="shared" si="2"/>
        <v>100</v>
      </c>
    </row>
    <row r="12" spans="2:17" s="2" customFormat="1" ht="8.1" customHeight="1" x14ac:dyDescent="0.25">
      <c r="B12" s="6"/>
      <c r="C12" s="7"/>
      <c r="D12" s="7"/>
      <c r="E12" s="7"/>
      <c r="F12" s="118"/>
      <c r="G12" s="134"/>
      <c r="H12" s="255"/>
      <c r="I12" s="154"/>
      <c r="J12" s="154"/>
      <c r="K12" s="154"/>
      <c r="L12" s="320"/>
      <c r="M12" s="115"/>
      <c r="N12" s="486"/>
      <c r="O12" s="533" t="str">
        <f t="shared" si="2"/>
        <v/>
      </c>
    </row>
    <row r="13" spans="2:17" s="1" customFormat="1" ht="12.95" customHeight="1" x14ac:dyDescent="0.25">
      <c r="B13" s="12"/>
      <c r="C13" s="8"/>
      <c r="D13" s="8"/>
      <c r="E13" s="8"/>
      <c r="F13" s="118">
        <v>611000</v>
      </c>
      <c r="G13" s="133"/>
      <c r="H13" s="23" t="s">
        <v>388</v>
      </c>
      <c r="I13" s="154">
        <f t="shared" ref="I13:K13" si="4">SUM(I14:I17)</f>
        <v>323770</v>
      </c>
      <c r="J13" s="154">
        <f t="shared" si="4"/>
        <v>323770</v>
      </c>
      <c r="K13" s="154">
        <f t="shared" si="4"/>
        <v>145066</v>
      </c>
      <c r="L13" s="320">
        <f t="shared" ref="L13" si="5">SUM(L14:L17)</f>
        <v>297770</v>
      </c>
      <c r="M13" s="99">
        <f>SUM(M14:M17)</f>
        <v>0</v>
      </c>
      <c r="N13" s="487">
        <f>SUM(N14:N17)</f>
        <v>297770</v>
      </c>
      <c r="O13" s="532">
        <f t="shared" si="2"/>
        <v>91.969608055100835</v>
      </c>
    </row>
    <row r="14" spans="2:17" ht="12.95" customHeight="1" x14ac:dyDescent="0.2">
      <c r="B14" s="10"/>
      <c r="C14" s="11"/>
      <c r="D14" s="11"/>
      <c r="E14" s="11"/>
      <c r="F14" s="119">
        <v>611100</v>
      </c>
      <c r="G14" s="134"/>
      <c r="H14" s="22" t="s">
        <v>389</v>
      </c>
      <c r="I14" s="152">
        <v>243410</v>
      </c>
      <c r="J14" s="152">
        <v>243410</v>
      </c>
      <c r="K14" s="152">
        <v>121975</v>
      </c>
      <c r="L14" s="250">
        <f>250270-2*2100+500</f>
        <v>246570</v>
      </c>
      <c r="M14" s="98">
        <v>0</v>
      </c>
      <c r="N14" s="485">
        <f t="shared" ref="N14:N16" si="6">SUM(L14:M14)</f>
        <v>246570</v>
      </c>
      <c r="O14" s="533">
        <f t="shared" si="2"/>
        <v>101.29822110841789</v>
      </c>
    </row>
    <row r="15" spans="2:17" ht="12.95" customHeight="1" x14ac:dyDescent="0.2">
      <c r="B15" s="10"/>
      <c r="C15" s="11"/>
      <c r="D15" s="11"/>
      <c r="E15" s="11"/>
      <c r="F15" s="119">
        <v>611200</v>
      </c>
      <c r="G15" s="134"/>
      <c r="H15" s="22" t="s">
        <v>390</v>
      </c>
      <c r="I15" s="152">
        <v>35000</v>
      </c>
      <c r="J15" s="152">
        <v>35000</v>
      </c>
      <c r="K15" s="152">
        <v>19065</v>
      </c>
      <c r="L15" s="250">
        <f>40600+200+300+8*400</f>
        <v>44300</v>
      </c>
      <c r="M15" s="98">
        <v>0</v>
      </c>
      <c r="N15" s="485">
        <f t="shared" si="6"/>
        <v>44300</v>
      </c>
      <c r="O15" s="533">
        <f t="shared" si="2"/>
        <v>126.57142857142858</v>
      </c>
    </row>
    <row r="16" spans="2:17" ht="12.95" customHeight="1" x14ac:dyDescent="0.2">
      <c r="B16" s="10"/>
      <c r="C16" s="11"/>
      <c r="D16" s="11"/>
      <c r="E16" s="11"/>
      <c r="F16" s="119">
        <v>611200</v>
      </c>
      <c r="G16" s="134" t="s">
        <v>392</v>
      </c>
      <c r="H16" s="296" t="s">
        <v>562</v>
      </c>
      <c r="I16" s="152">
        <v>45360</v>
      </c>
      <c r="J16" s="152">
        <v>45360</v>
      </c>
      <c r="K16" s="152">
        <v>4026</v>
      </c>
      <c r="L16" s="250">
        <v>6900</v>
      </c>
      <c r="M16" s="98">
        <v>0</v>
      </c>
      <c r="N16" s="485">
        <f t="shared" si="6"/>
        <v>6900</v>
      </c>
      <c r="O16" s="533">
        <f t="shared" si="2"/>
        <v>15.211640211640212</v>
      </c>
      <c r="Q16" s="44"/>
    </row>
    <row r="17" spans="2:15" ht="8.1" customHeight="1" x14ac:dyDescent="0.25">
      <c r="B17" s="10"/>
      <c r="C17" s="11"/>
      <c r="D17" s="11"/>
      <c r="E17" s="11"/>
      <c r="F17" s="119"/>
      <c r="G17" s="134"/>
      <c r="H17" s="22"/>
      <c r="I17" s="154"/>
      <c r="J17" s="154"/>
      <c r="K17" s="154"/>
      <c r="L17" s="320"/>
      <c r="M17" s="99"/>
      <c r="N17" s="487"/>
      <c r="O17" s="533" t="str">
        <f t="shared" si="2"/>
        <v/>
      </c>
    </row>
    <row r="18" spans="2:15" s="1" customFormat="1" ht="12.95" customHeight="1" x14ac:dyDescent="0.25">
      <c r="B18" s="12"/>
      <c r="C18" s="8"/>
      <c r="D18" s="8"/>
      <c r="E18" s="8"/>
      <c r="F18" s="118">
        <v>612000</v>
      </c>
      <c r="G18" s="134"/>
      <c r="H18" s="23" t="s">
        <v>394</v>
      </c>
      <c r="I18" s="154">
        <f t="shared" ref="I18:K18" si="7">I19+I20</f>
        <v>25810</v>
      </c>
      <c r="J18" s="154">
        <f t="shared" si="7"/>
        <v>25810</v>
      </c>
      <c r="K18" s="154">
        <f t="shared" si="7"/>
        <v>12807</v>
      </c>
      <c r="L18" s="320">
        <f t="shared" ref="L18" si="8">L19+L20</f>
        <v>25970</v>
      </c>
      <c r="M18" s="99">
        <f>M19+M20</f>
        <v>0</v>
      </c>
      <c r="N18" s="487">
        <f>N19+N20</f>
        <v>25970</v>
      </c>
      <c r="O18" s="532">
        <f t="shared" si="2"/>
        <v>100.61991476172025</v>
      </c>
    </row>
    <row r="19" spans="2:15" ht="12.95" customHeight="1" x14ac:dyDescent="0.2">
      <c r="B19" s="10"/>
      <c r="C19" s="11"/>
      <c r="D19" s="11"/>
      <c r="E19" s="11"/>
      <c r="F19" s="119">
        <v>612100</v>
      </c>
      <c r="G19" s="134"/>
      <c r="H19" s="297" t="s">
        <v>395</v>
      </c>
      <c r="I19" s="152">
        <v>25810</v>
      </c>
      <c r="J19" s="152">
        <v>25810</v>
      </c>
      <c r="K19" s="152">
        <v>12807</v>
      </c>
      <c r="L19" s="250">
        <f>26300-2*200+70</f>
        <v>25970</v>
      </c>
      <c r="M19" s="98">
        <v>0</v>
      </c>
      <c r="N19" s="485">
        <f>SUM(L19:M19)</f>
        <v>25970</v>
      </c>
      <c r="O19" s="533">
        <f t="shared" si="2"/>
        <v>100.61991476172025</v>
      </c>
    </row>
    <row r="20" spans="2:15" ht="8.1" customHeight="1" x14ac:dyDescent="0.2">
      <c r="B20" s="10"/>
      <c r="C20" s="11"/>
      <c r="D20" s="11"/>
      <c r="E20" s="11"/>
      <c r="F20" s="119"/>
      <c r="G20" s="134"/>
      <c r="H20" s="22"/>
      <c r="I20" s="152"/>
      <c r="J20" s="152"/>
      <c r="K20" s="152"/>
      <c r="L20" s="250"/>
      <c r="M20" s="111"/>
      <c r="N20" s="485"/>
      <c r="O20" s="533" t="str">
        <f t="shared" si="2"/>
        <v/>
      </c>
    </row>
    <row r="21" spans="2:15" s="1" customFormat="1" ht="12.95" customHeight="1" x14ac:dyDescent="0.25">
      <c r="B21" s="12"/>
      <c r="C21" s="8"/>
      <c r="D21" s="8"/>
      <c r="E21" s="8"/>
      <c r="F21" s="118">
        <v>613000</v>
      </c>
      <c r="G21" s="134"/>
      <c r="H21" s="23" t="s">
        <v>400</v>
      </c>
      <c r="I21" s="154">
        <f t="shared" ref="I21:K21" si="9">SUM(I22:I32)</f>
        <v>342000</v>
      </c>
      <c r="J21" s="154">
        <f t="shared" si="9"/>
        <v>342000</v>
      </c>
      <c r="K21" s="154">
        <f t="shared" si="9"/>
        <v>164647</v>
      </c>
      <c r="L21" s="320">
        <f t="shared" ref="L21" si="10">SUM(L22:L32)</f>
        <v>312100</v>
      </c>
      <c r="M21" s="112">
        <f t="shared" ref="M21:N21" si="11">SUM(M22:M32)</f>
        <v>0</v>
      </c>
      <c r="N21" s="486">
        <f t="shared" si="11"/>
        <v>312100</v>
      </c>
      <c r="O21" s="532">
        <f t="shared" si="2"/>
        <v>91.257309941520475</v>
      </c>
    </row>
    <row r="22" spans="2:15" ht="12.95" customHeight="1" x14ac:dyDescent="0.2">
      <c r="B22" s="10"/>
      <c r="C22" s="11"/>
      <c r="D22" s="11"/>
      <c r="E22" s="11"/>
      <c r="F22" s="119">
        <v>613100</v>
      </c>
      <c r="G22" s="134"/>
      <c r="H22" s="22" t="s">
        <v>401</v>
      </c>
      <c r="I22" s="152">
        <v>9500</v>
      </c>
      <c r="J22" s="152">
        <v>9500</v>
      </c>
      <c r="K22" s="152">
        <v>3009</v>
      </c>
      <c r="L22" s="250">
        <v>9500</v>
      </c>
      <c r="M22" s="111">
        <v>0</v>
      </c>
      <c r="N22" s="485">
        <f t="shared" ref="N22:N32" si="12">SUM(L22:M22)</f>
        <v>9500</v>
      </c>
      <c r="O22" s="533">
        <f t="shared" si="2"/>
        <v>100</v>
      </c>
    </row>
    <row r="23" spans="2:15" ht="12.95" customHeight="1" x14ac:dyDescent="0.2">
      <c r="B23" s="10"/>
      <c r="C23" s="11"/>
      <c r="D23" s="11"/>
      <c r="E23" s="11"/>
      <c r="F23" s="119">
        <v>613200</v>
      </c>
      <c r="G23" s="134"/>
      <c r="H23" s="22" t="s">
        <v>402</v>
      </c>
      <c r="I23" s="152">
        <v>0</v>
      </c>
      <c r="J23" s="152">
        <v>0</v>
      </c>
      <c r="K23" s="152">
        <v>0</v>
      </c>
      <c r="L23" s="250">
        <v>0</v>
      </c>
      <c r="M23" s="111">
        <v>0</v>
      </c>
      <c r="N23" s="485">
        <f t="shared" si="12"/>
        <v>0</v>
      </c>
      <c r="O23" s="533" t="str">
        <f t="shared" si="2"/>
        <v/>
      </c>
    </row>
    <row r="24" spans="2:15" ht="12.95" customHeight="1" x14ac:dyDescent="0.2">
      <c r="B24" s="10"/>
      <c r="C24" s="11"/>
      <c r="D24" s="11"/>
      <c r="E24" s="11"/>
      <c r="F24" s="119">
        <v>613300</v>
      </c>
      <c r="G24" s="134"/>
      <c r="H24" s="22" t="s">
        <v>403</v>
      </c>
      <c r="I24" s="152">
        <v>7500</v>
      </c>
      <c r="J24" s="152">
        <v>7500</v>
      </c>
      <c r="K24" s="152">
        <v>3485</v>
      </c>
      <c r="L24" s="250">
        <v>7500</v>
      </c>
      <c r="M24" s="111">
        <v>0</v>
      </c>
      <c r="N24" s="485">
        <f t="shared" si="12"/>
        <v>7500</v>
      </c>
      <c r="O24" s="533">
        <f t="shared" si="2"/>
        <v>100</v>
      </c>
    </row>
    <row r="25" spans="2:15" ht="12.95" customHeight="1" x14ac:dyDescent="0.2">
      <c r="B25" s="10"/>
      <c r="C25" s="11"/>
      <c r="D25" s="11"/>
      <c r="E25" s="11"/>
      <c r="F25" s="119">
        <v>613400</v>
      </c>
      <c r="G25" s="134"/>
      <c r="H25" s="22" t="s">
        <v>404</v>
      </c>
      <c r="I25" s="152">
        <v>1500</v>
      </c>
      <c r="J25" s="152">
        <v>1500</v>
      </c>
      <c r="K25" s="152">
        <v>0</v>
      </c>
      <c r="L25" s="250">
        <v>3000</v>
      </c>
      <c r="M25" s="111">
        <v>0</v>
      </c>
      <c r="N25" s="583">
        <f t="shared" si="12"/>
        <v>3000</v>
      </c>
      <c r="O25" s="533">
        <f t="shared" si="2"/>
        <v>200</v>
      </c>
    </row>
    <row r="26" spans="2:15" ht="12.95" customHeight="1" x14ac:dyDescent="0.2">
      <c r="B26" s="10"/>
      <c r="C26" s="11"/>
      <c r="D26" s="11"/>
      <c r="E26" s="11"/>
      <c r="F26" s="119">
        <v>613500</v>
      </c>
      <c r="G26" s="134"/>
      <c r="H26" s="22" t="s">
        <v>408</v>
      </c>
      <c r="I26" s="155">
        <v>2000</v>
      </c>
      <c r="J26" s="155">
        <v>2000</v>
      </c>
      <c r="K26" s="155">
        <v>91</v>
      </c>
      <c r="L26" s="251">
        <v>1000</v>
      </c>
      <c r="M26" s="113">
        <v>0</v>
      </c>
      <c r="N26" s="485">
        <f t="shared" si="12"/>
        <v>1000</v>
      </c>
      <c r="O26" s="533">
        <f t="shared" si="2"/>
        <v>50</v>
      </c>
    </row>
    <row r="27" spans="2:15" ht="12.95" customHeight="1" x14ac:dyDescent="0.2">
      <c r="B27" s="10"/>
      <c r="C27" s="11"/>
      <c r="D27" s="11"/>
      <c r="E27" s="11"/>
      <c r="F27" s="119">
        <v>613600</v>
      </c>
      <c r="G27" s="134"/>
      <c r="H27" s="22" t="s">
        <v>409</v>
      </c>
      <c r="I27" s="152">
        <v>1600</v>
      </c>
      <c r="J27" s="152">
        <v>1600</v>
      </c>
      <c r="K27" s="152">
        <v>0</v>
      </c>
      <c r="L27" s="250">
        <v>600</v>
      </c>
      <c r="M27" s="111">
        <v>0</v>
      </c>
      <c r="N27" s="485">
        <f t="shared" si="12"/>
        <v>600</v>
      </c>
      <c r="O27" s="533">
        <f t="shared" si="2"/>
        <v>37.5</v>
      </c>
    </row>
    <row r="28" spans="2:15" ht="12.95" customHeight="1" x14ac:dyDescent="0.2">
      <c r="B28" s="10"/>
      <c r="C28" s="11"/>
      <c r="D28" s="11"/>
      <c r="E28" s="11"/>
      <c r="F28" s="119">
        <v>613700</v>
      </c>
      <c r="G28" s="134"/>
      <c r="H28" s="22" t="s">
        <v>410</v>
      </c>
      <c r="I28" s="152">
        <v>6000</v>
      </c>
      <c r="J28" s="152">
        <v>6000</v>
      </c>
      <c r="K28" s="152">
        <v>708</v>
      </c>
      <c r="L28" s="250">
        <v>3000</v>
      </c>
      <c r="M28" s="111">
        <v>0</v>
      </c>
      <c r="N28" s="485">
        <f t="shared" si="12"/>
        <v>3000</v>
      </c>
      <c r="O28" s="533">
        <f t="shared" si="2"/>
        <v>50</v>
      </c>
    </row>
    <row r="29" spans="2:15" ht="12.95" customHeight="1" x14ac:dyDescent="0.2">
      <c r="B29" s="10"/>
      <c r="C29" s="11"/>
      <c r="D29" s="11"/>
      <c r="E29" s="11"/>
      <c r="F29" s="119">
        <v>613800</v>
      </c>
      <c r="G29" s="134"/>
      <c r="H29" s="22" t="s">
        <v>414</v>
      </c>
      <c r="I29" s="152">
        <v>700</v>
      </c>
      <c r="J29" s="152">
        <v>700</v>
      </c>
      <c r="K29" s="152">
        <v>0</v>
      </c>
      <c r="L29" s="250">
        <v>100</v>
      </c>
      <c r="M29" s="111">
        <v>0</v>
      </c>
      <c r="N29" s="485">
        <f t="shared" si="12"/>
        <v>100</v>
      </c>
      <c r="O29" s="533">
        <f t="shared" si="2"/>
        <v>14.285714285714285</v>
      </c>
    </row>
    <row r="30" spans="2:15" ht="12.95" customHeight="1" x14ac:dyDescent="0.2">
      <c r="B30" s="10"/>
      <c r="C30" s="11"/>
      <c r="D30" s="11"/>
      <c r="E30" s="11"/>
      <c r="F30" s="119">
        <v>613900</v>
      </c>
      <c r="G30" s="134"/>
      <c r="H30" s="22" t="s">
        <v>417</v>
      </c>
      <c r="I30" s="152">
        <v>180000</v>
      </c>
      <c r="J30" s="152">
        <v>180000</v>
      </c>
      <c r="K30" s="152">
        <v>135103</v>
      </c>
      <c r="L30" s="250">
        <v>190000</v>
      </c>
      <c r="M30" s="111">
        <v>0</v>
      </c>
      <c r="N30" s="485">
        <f t="shared" si="12"/>
        <v>190000</v>
      </c>
      <c r="O30" s="533">
        <f t="shared" si="2"/>
        <v>105.55555555555556</v>
      </c>
    </row>
    <row r="31" spans="2:15" ht="12.95" customHeight="1" x14ac:dyDescent="0.2">
      <c r="B31" s="10"/>
      <c r="C31" s="11"/>
      <c r="D31" s="11"/>
      <c r="E31" s="11"/>
      <c r="F31" s="119">
        <v>613900</v>
      </c>
      <c r="G31" s="134" t="s">
        <v>392</v>
      </c>
      <c r="H31" s="296" t="s">
        <v>563</v>
      </c>
      <c r="I31" s="152">
        <v>43200</v>
      </c>
      <c r="J31" s="152">
        <v>43200</v>
      </c>
      <c r="K31" s="152">
        <v>4251</v>
      </c>
      <c r="L31" s="250">
        <v>7400</v>
      </c>
      <c r="M31" s="111">
        <v>0</v>
      </c>
      <c r="N31" s="485">
        <f t="shared" ref="N31" si="13">SUM(L31:M31)</f>
        <v>7400</v>
      </c>
      <c r="O31" s="533">
        <f t="shared" si="2"/>
        <v>17.12962962962963</v>
      </c>
    </row>
    <row r="32" spans="2:15" ht="12.95" customHeight="1" x14ac:dyDescent="0.2">
      <c r="B32" s="10"/>
      <c r="C32" s="11"/>
      <c r="D32" s="11"/>
      <c r="E32" s="11"/>
      <c r="F32" s="119">
        <v>613900</v>
      </c>
      <c r="G32" s="134" t="s">
        <v>428</v>
      </c>
      <c r="H32" s="296" t="s">
        <v>564</v>
      </c>
      <c r="I32" s="152">
        <v>90000</v>
      </c>
      <c r="J32" s="152">
        <v>90000</v>
      </c>
      <c r="K32" s="152">
        <v>18000</v>
      </c>
      <c r="L32" s="250">
        <v>90000</v>
      </c>
      <c r="M32" s="111">
        <v>0</v>
      </c>
      <c r="N32" s="485">
        <f t="shared" si="12"/>
        <v>90000</v>
      </c>
      <c r="O32" s="533">
        <f t="shared" si="2"/>
        <v>100</v>
      </c>
    </row>
    <row r="33" spans="2:15" ht="8.1" customHeight="1" x14ac:dyDescent="0.2">
      <c r="B33" s="10"/>
      <c r="C33" s="11"/>
      <c r="D33" s="11"/>
      <c r="E33" s="11"/>
      <c r="F33" s="119"/>
      <c r="G33" s="134"/>
      <c r="H33" s="22"/>
      <c r="I33" s="152"/>
      <c r="J33" s="152"/>
      <c r="K33" s="152"/>
      <c r="L33" s="250"/>
      <c r="M33" s="111"/>
      <c r="N33" s="485"/>
      <c r="O33" s="533" t="str">
        <f t="shared" si="2"/>
        <v/>
      </c>
    </row>
    <row r="34" spans="2:15" s="1" customFormat="1" ht="12.95" customHeight="1" x14ac:dyDescent="0.25">
      <c r="B34" s="12"/>
      <c r="C34" s="8"/>
      <c r="D34" s="8"/>
      <c r="E34" s="8"/>
      <c r="F34" s="118">
        <v>614000</v>
      </c>
      <c r="G34" s="134"/>
      <c r="H34" s="23" t="s">
        <v>434</v>
      </c>
      <c r="I34" s="154">
        <f t="shared" ref="I34:K34" si="14">SUM(I35:I40)</f>
        <v>675000</v>
      </c>
      <c r="J34" s="154">
        <f t="shared" si="14"/>
        <v>675000</v>
      </c>
      <c r="K34" s="154">
        <f t="shared" si="14"/>
        <v>132090</v>
      </c>
      <c r="L34" s="320">
        <f>SUM(L35:L40)</f>
        <v>575000</v>
      </c>
      <c r="M34" s="115">
        <f>SUM(M35:M40)</f>
        <v>0</v>
      </c>
      <c r="N34" s="486">
        <f>SUM(N35:N40)</f>
        <v>575000</v>
      </c>
      <c r="O34" s="532">
        <f t="shared" si="2"/>
        <v>85.18518518518519</v>
      </c>
    </row>
    <row r="35" spans="2:15" s="47" customFormat="1" ht="12.95" customHeight="1" x14ac:dyDescent="0.2">
      <c r="B35" s="48"/>
      <c r="C35" s="13"/>
      <c r="D35" s="13"/>
      <c r="E35" s="13"/>
      <c r="F35" s="119">
        <v>614100</v>
      </c>
      <c r="G35" s="134" t="s">
        <v>436</v>
      </c>
      <c r="H35" s="297" t="s">
        <v>565</v>
      </c>
      <c r="I35" s="155">
        <v>300000</v>
      </c>
      <c r="J35" s="155">
        <v>300000</v>
      </c>
      <c r="K35" s="155">
        <v>0</v>
      </c>
      <c r="L35" s="251">
        <v>200000</v>
      </c>
      <c r="M35" s="150">
        <v>0</v>
      </c>
      <c r="N35" s="485">
        <f t="shared" ref="N35:N39" si="15">SUM(L35:M35)</f>
        <v>200000</v>
      </c>
      <c r="O35" s="533">
        <f t="shared" si="2"/>
        <v>66.666666666666657</v>
      </c>
    </row>
    <row r="36" spans="2:15" ht="12.95" customHeight="1" x14ac:dyDescent="0.2">
      <c r="B36" s="10"/>
      <c r="C36" s="11"/>
      <c r="D36" s="11"/>
      <c r="E36" s="11"/>
      <c r="F36" s="119">
        <v>614300</v>
      </c>
      <c r="G36" s="134" t="s">
        <v>478</v>
      </c>
      <c r="H36" s="305" t="s">
        <v>566</v>
      </c>
      <c r="I36" s="155">
        <v>80000</v>
      </c>
      <c r="J36" s="155">
        <v>80000</v>
      </c>
      <c r="K36" s="155">
        <v>0</v>
      </c>
      <c r="L36" s="251">
        <v>80000</v>
      </c>
      <c r="M36" s="150">
        <v>0</v>
      </c>
      <c r="N36" s="485">
        <f t="shared" si="15"/>
        <v>80000</v>
      </c>
      <c r="O36" s="533">
        <f t="shared" si="2"/>
        <v>100</v>
      </c>
    </row>
    <row r="37" spans="2:15" ht="12.95" customHeight="1" x14ac:dyDescent="0.2">
      <c r="B37" s="10"/>
      <c r="C37" s="11"/>
      <c r="D37" s="11"/>
      <c r="E37" s="11"/>
      <c r="F37" s="119">
        <v>614300</v>
      </c>
      <c r="G37" s="134" t="s">
        <v>480</v>
      </c>
      <c r="H37" s="22" t="s">
        <v>567</v>
      </c>
      <c r="I37" s="155">
        <v>35000</v>
      </c>
      <c r="J37" s="155">
        <v>35000</v>
      </c>
      <c r="K37" s="155">
        <v>14588</v>
      </c>
      <c r="L37" s="251">
        <v>35000</v>
      </c>
      <c r="M37" s="150">
        <v>0</v>
      </c>
      <c r="N37" s="485">
        <f t="shared" si="15"/>
        <v>35000</v>
      </c>
      <c r="O37" s="533">
        <f t="shared" si="2"/>
        <v>100</v>
      </c>
    </row>
    <row r="38" spans="2:15" ht="12.95" customHeight="1" x14ac:dyDescent="0.2">
      <c r="B38" s="10"/>
      <c r="C38" s="11"/>
      <c r="D38" s="11"/>
      <c r="E38" s="11"/>
      <c r="F38" s="119">
        <v>614300</v>
      </c>
      <c r="G38" s="134" t="s">
        <v>482</v>
      </c>
      <c r="H38" s="22" t="s">
        <v>568</v>
      </c>
      <c r="I38" s="155">
        <v>40000</v>
      </c>
      <c r="J38" s="155">
        <v>40000</v>
      </c>
      <c r="K38" s="155">
        <v>20002</v>
      </c>
      <c r="L38" s="251">
        <v>40000</v>
      </c>
      <c r="M38" s="150">
        <v>0</v>
      </c>
      <c r="N38" s="485">
        <f t="shared" si="15"/>
        <v>40000</v>
      </c>
      <c r="O38" s="533">
        <f t="shared" si="2"/>
        <v>100</v>
      </c>
    </row>
    <row r="39" spans="2:15" ht="12.95" customHeight="1" x14ac:dyDescent="0.2">
      <c r="B39" s="10"/>
      <c r="C39" s="11"/>
      <c r="D39" s="11"/>
      <c r="E39" s="11"/>
      <c r="F39" s="119">
        <v>614300</v>
      </c>
      <c r="G39" s="134" t="s">
        <v>474</v>
      </c>
      <c r="H39" s="296" t="s">
        <v>569</v>
      </c>
      <c r="I39" s="155">
        <v>150000</v>
      </c>
      <c r="J39" s="155">
        <v>150000</v>
      </c>
      <c r="K39" s="155">
        <v>62500</v>
      </c>
      <c r="L39" s="251">
        <v>150000</v>
      </c>
      <c r="M39" s="150">
        <v>0</v>
      </c>
      <c r="N39" s="485">
        <f t="shared" si="15"/>
        <v>150000</v>
      </c>
      <c r="O39" s="533">
        <f t="shared" si="2"/>
        <v>100</v>
      </c>
    </row>
    <row r="40" spans="2:15" ht="12.95" customHeight="1" x14ac:dyDescent="0.2">
      <c r="B40" s="10"/>
      <c r="C40" s="11"/>
      <c r="D40" s="11"/>
      <c r="E40" s="11"/>
      <c r="F40" s="119">
        <v>614300</v>
      </c>
      <c r="G40" s="134" t="s">
        <v>476</v>
      </c>
      <c r="H40" s="296" t="s">
        <v>570</v>
      </c>
      <c r="I40" s="155">
        <v>70000</v>
      </c>
      <c r="J40" s="155">
        <v>70000</v>
      </c>
      <c r="K40" s="155">
        <v>35000</v>
      </c>
      <c r="L40" s="251">
        <v>70000</v>
      </c>
      <c r="M40" s="150">
        <v>0</v>
      </c>
      <c r="N40" s="485">
        <f t="shared" ref="N40" si="16">SUM(L40:M40)</f>
        <v>70000</v>
      </c>
      <c r="O40" s="533">
        <f t="shared" si="2"/>
        <v>100</v>
      </c>
    </row>
    <row r="41" spans="2:15" ht="8.1" customHeight="1" x14ac:dyDescent="0.2">
      <c r="B41" s="10"/>
      <c r="C41" s="11"/>
      <c r="D41" s="11"/>
      <c r="E41" s="11"/>
      <c r="F41" s="119"/>
      <c r="G41" s="134"/>
      <c r="H41" s="22"/>
      <c r="I41" s="155"/>
      <c r="J41" s="155"/>
      <c r="K41" s="155"/>
      <c r="L41" s="251"/>
      <c r="M41" s="113"/>
      <c r="N41" s="485"/>
      <c r="O41" s="533" t="str">
        <f t="shared" si="2"/>
        <v/>
      </c>
    </row>
    <row r="42" spans="2:15" ht="12.95" customHeight="1" x14ac:dyDescent="0.25">
      <c r="B42" s="10"/>
      <c r="C42" s="11"/>
      <c r="D42" s="11"/>
      <c r="E42" s="11"/>
      <c r="F42" s="118">
        <v>615000</v>
      </c>
      <c r="G42" s="134"/>
      <c r="H42" s="23" t="s">
        <v>509</v>
      </c>
      <c r="I42" s="154">
        <f t="shared" ref="I42:K42" si="17">I43</f>
        <v>200000</v>
      </c>
      <c r="J42" s="154">
        <f t="shared" si="17"/>
        <v>200000</v>
      </c>
      <c r="K42" s="154">
        <f t="shared" si="17"/>
        <v>0</v>
      </c>
      <c r="L42" s="320">
        <f t="shared" ref="L42" si="18">L43</f>
        <v>0</v>
      </c>
      <c r="M42" s="115">
        <f>M43</f>
        <v>0</v>
      </c>
      <c r="N42" s="486">
        <f>N43</f>
        <v>0</v>
      </c>
      <c r="O42" s="532">
        <f t="shared" si="2"/>
        <v>0</v>
      </c>
    </row>
    <row r="43" spans="2:15" ht="12.95" customHeight="1" x14ac:dyDescent="0.2">
      <c r="B43" s="10"/>
      <c r="C43" s="11"/>
      <c r="D43" s="11"/>
      <c r="E43" s="11"/>
      <c r="F43" s="119">
        <v>615100</v>
      </c>
      <c r="G43" s="134"/>
      <c r="H43" s="297" t="s">
        <v>511</v>
      </c>
      <c r="I43" s="155">
        <v>200000</v>
      </c>
      <c r="J43" s="155">
        <v>200000</v>
      </c>
      <c r="K43" s="155">
        <v>0</v>
      </c>
      <c r="L43" s="251">
        <v>0</v>
      </c>
      <c r="M43" s="113">
        <v>0</v>
      </c>
      <c r="N43" s="485">
        <f>SUM(L43:M43)</f>
        <v>0</v>
      </c>
      <c r="O43" s="533">
        <f t="shared" si="2"/>
        <v>0</v>
      </c>
    </row>
    <row r="44" spans="2:15" ht="8.1" customHeight="1" x14ac:dyDescent="0.2">
      <c r="B44" s="10"/>
      <c r="C44" s="11"/>
      <c r="D44" s="11"/>
      <c r="E44" s="11"/>
      <c r="F44" s="119"/>
      <c r="G44" s="134"/>
      <c r="H44" s="22"/>
      <c r="I44" s="152"/>
      <c r="J44" s="152"/>
      <c r="K44" s="152"/>
      <c r="L44" s="250"/>
      <c r="M44" s="111"/>
      <c r="N44" s="485"/>
      <c r="O44" s="533" t="str">
        <f t="shared" si="2"/>
        <v/>
      </c>
    </row>
    <row r="45" spans="2:15" ht="12.95" customHeight="1" x14ac:dyDescent="0.25">
      <c r="B45" s="12"/>
      <c r="C45" s="8"/>
      <c r="D45" s="8"/>
      <c r="E45" s="8"/>
      <c r="F45" s="118">
        <v>821000</v>
      </c>
      <c r="G45" s="134"/>
      <c r="H45" s="23" t="s">
        <v>526</v>
      </c>
      <c r="I45" s="154">
        <f>SUM(I46:I49)</f>
        <v>1800000</v>
      </c>
      <c r="J45" s="154">
        <f>SUM(J46:J49)</f>
        <v>1216813</v>
      </c>
      <c r="K45" s="154">
        <f t="shared" ref="K45" si="19">SUM(K46:K49)</f>
        <v>0</v>
      </c>
      <c r="L45" s="320">
        <f t="shared" ref="L45:N45" si="20">SUM(L46:L49)</f>
        <v>554957</v>
      </c>
      <c r="M45" s="14">
        <f t="shared" si="20"/>
        <v>949663</v>
      </c>
      <c r="N45" s="455">
        <f t="shared" si="20"/>
        <v>1504620</v>
      </c>
      <c r="O45" s="532">
        <f t="shared" si="2"/>
        <v>123.65252507986027</v>
      </c>
    </row>
    <row r="46" spans="2:15" ht="12.95" customHeight="1" x14ac:dyDescent="0.2">
      <c r="B46" s="10"/>
      <c r="C46" s="11"/>
      <c r="D46" s="11"/>
      <c r="E46" s="11"/>
      <c r="F46" s="119">
        <v>821100</v>
      </c>
      <c r="G46" s="134"/>
      <c r="H46" s="296" t="s">
        <v>527</v>
      </c>
      <c r="I46" s="152">
        <v>100000</v>
      </c>
      <c r="J46" s="152">
        <v>100000</v>
      </c>
      <c r="K46" s="152">
        <v>0</v>
      </c>
      <c r="L46" s="250">
        <v>0</v>
      </c>
      <c r="M46" s="27">
        <v>0</v>
      </c>
      <c r="N46" s="485">
        <f t="shared" ref="N46" si="21">SUM(L46:M46)</f>
        <v>0</v>
      </c>
      <c r="O46" s="533">
        <f t="shared" si="2"/>
        <v>0</v>
      </c>
    </row>
    <row r="47" spans="2:15" ht="12.95" customHeight="1" x14ac:dyDescent="0.2">
      <c r="B47" s="10"/>
      <c r="C47" s="11"/>
      <c r="D47" s="11"/>
      <c r="E47" s="11"/>
      <c r="F47" s="119">
        <v>821200</v>
      </c>
      <c r="G47" s="134"/>
      <c r="H47" s="22" t="s">
        <v>528</v>
      </c>
      <c r="I47" s="152">
        <v>1600000</v>
      </c>
      <c r="J47" s="152">
        <v>1036813</v>
      </c>
      <c r="K47" s="152">
        <v>0</v>
      </c>
      <c r="L47" s="250">
        <f>375780+109177</f>
        <v>484957</v>
      </c>
      <c r="M47" s="27">
        <f>90000+90000+185804+114578+9719+26977+408330+24255</f>
        <v>949663</v>
      </c>
      <c r="N47" s="485">
        <f t="shared" ref="N47:N49" si="22">SUM(L47:M47)</f>
        <v>1434620</v>
      </c>
      <c r="O47" s="533">
        <f t="shared" si="2"/>
        <v>138.36824962649968</v>
      </c>
    </row>
    <row r="48" spans="2:15" ht="12.95" customHeight="1" x14ac:dyDescent="0.2">
      <c r="B48" s="10"/>
      <c r="C48" s="11"/>
      <c r="D48" s="11"/>
      <c r="E48" s="11"/>
      <c r="F48" s="119">
        <v>821300</v>
      </c>
      <c r="G48" s="134"/>
      <c r="H48" s="22" t="s">
        <v>529</v>
      </c>
      <c r="I48" s="155">
        <v>50000</v>
      </c>
      <c r="J48" s="155">
        <v>30000</v>
      </c>
      <c r="K48" s="155">
        <v>0</v>
      </c>
      <c r="L48" s="251">
        <v>30000</v>
      </c>
      <c r="M48" s="28">
        <v>0</v>
      </c>
      <c r="N48" s="485">
        <f t="shared" si="22"/>
        <v>30000</v>
      </c>
      <c r="O48" s="533">
        <f t="shared" si="2"/>
        <v>100</v>
      </c>
    </row>
    <row r="49" spans="2:17" ht="12.95" customHeight="1" x14ac:dyDescent="0.2">
      <c r="B49" s="10"/>
      <c r="C49" s="11"/>
      <c r="D49" s="11"/>
      <c r="E49" s="11"/>
      <c r="F49" s="119">
        <v>821500</v>
      </c>
      <c r="G49" s="134"/>
      <c r="H49" s="22" t="s">
        <v>532</v>
      </c>
      <c r="I49" s="152">
        <v>50000</v>
      </c>
      <c r="J49" s="152">
        <v>50000</v>
      </c>
      <c r="K49" s="152">
        <v>0</v>
      </c>
      <c r="L49" s="250">
        <v>40000</v>
      </c>
      <c r="M49" s="575">
        <v>0</v>
      </c>
      <c r="N49" s="485">
        <f t="shared" si="22"/>
        <v>40000</v>
      </c>
      <c r="O49" s="547">
        <f t="shared" si="2"/>
        <v>80</v>
      </c>
    </row>
    <row r="50" spans="2:17" s="1" customFormat="1" ht="8.1" customHeight="1" x14ac:dyDescent="0.25">
      <c r="B50" s="10"/>
      <c r="C50" s="11"/>
      <c r="D50" s="11"/>
      <c r="E50" s="11"/>
      <c r="F50" s="119"/>
      <c r="G50" s="134"/>
      <c r="H50" s="22"/>
      <c r="I50" s="154"/>
      <c r="J50" s="154"/>
      <c r="K50" s="154"/>
      <c r="L50" s="320"/>
      <c r="M50" s="14"/>
      <c r="N50" s="455"/>
      <c r="O50" s="533" t="str">
        <f t="shared" si="2"/>
        <v/>
      </c>
    </row>
    <row r="51" spans="2:17" ht="12.95" customHeight="1" x14ac:dyDescent="0.25">
      <c r="B51" s="12"/>
      <c r="C51" s="8"/>
      <c r="D51" s="8"/>
      <c r="E51" s="8"/>
      <c r="F51" s="118"/>
      <c r="G51" s="134"/>
      <c r="H51" s="23" t="s">
        <v>540</v>
      </c>
      <c r="I51" s="154">
        <v>8</v>
      </c>
      <c r="J51" s="154">
        <v>8</v>
      </c>
      <c r="K51" s="154">
        <v>8</v>
      </c>
      <c r="L51" s="320">
        <v>8</v>
      </c>
      <c r="M51" s="14"/>
      <c r="N51" s="455">
        <v>8</v>
      </c>
      <c r="O51" s="533"/>
    </row>
    <row r="52" spans="2:17" ht="12.95" customHeight="1" x14ac:dyDescent="0.25">
      <c r="B52" s="12"/>
      <c r="C52" s="8"/>
      <c r="D52" s="8"/>
      <c r="E52" s="8"/>
      <c r="F52" s="118"/>
      <c r="G52" s="134"/>
      <c r="H52" s="23" t="s">
        <v>557</v>
      </c>
      <c r="I52" s="14">
        <f t="shared" ref="I52:N52" si="23">I8+I13+I18+I21+I34+I42+I45</f>
        <v>3911580</v>
      </c>
      <c r="J52" s="256">
        <f t="shared" si="23"/>
        <v>3328393</v>
      </c>
      <c r="K52" s="256">
        <f t="shared" si="23"/>
        <v>687681</v>
      </c>
      <c r="L52" s="259">
        <f t="shared" si="23"/>
        <v>2410797</v>
      </c>
      <c r="M52" s="14">
        <f t="shared" si="23"/>
        <v>949663</v>
      </c>
      <c r="N52" s="455">
        <f t="shared" si="23"/>
        <v>3360460</v>
      </c>
      <c r="O52" s="532">
        <f>IF(J52=0,"",N52/J52*100)</f>
        <v>100.96343791132838</v>
      </c>
      <c r="Q52" s="45"/>
    </row>
    <row r="53" spans="2:17" ht="12.95" customHeight="1" x14ac:dyDescent="0.2">
      <c r="B53" s="12"/>
      <c r="C53" s="8"/>
      <c r="D53" s="8"/>
      <c r="E53" s="8"/>
      <c r="F53" s="118"/>
      <c r="G53" s="134"/>
      <c r="H53" s="8" t="s">
        <v>558</v>
      </c>
      <c r="I53" s="11"/>
      <c r="J53" s="22"/>
      <c r="K53" s="22"/>
      <c r="L53" s="10"/>
      <c r="M53" s="11"/>
      <c r="N53" s="488"/>
      <c r="O53" s="533"/>
    </row>
    <row r="54" spans="2:17" ht="12.95" customHeight="1" x14ac:dyDescent="0.2">
      <c r="B54" s="12"/>
      <c r="C54" s="8"/>
      <c r="D54" s="8"/>
      <c r="E54" s="8"/>
      <c r="F54" s="118"/>
      <c r="G54" s="134"/>
      <c r="H54" s="8" t="s">
        <v>559</v>
      </c>
      <c r="I54" s="11"/>
      <c r="J54" s="22"/>
      <c r="K54" s="22"/>
      <c r="L54" s="10"/>
      <c r="M54" s="11"/>
      <c r="N54" s="488"/>
      <c r="O54" s="533"/>
    </row>
    <row r="55" spans="2:17" s="1" customFormat="1" ht="8.1" customHeight="1" thickBot="1" x14ac:dyDescent="0.25">
      <c r="B55" s="15"/>
      <c r="C55" s="16"/>
      <c r="D55" s="16"/>
      <c r="E55" s="16"/>
      <c r="F55" s="120"/>
      <c r="G55" s="135"/>
      <c r="H55" s="16"/>
      <c r="I55" s="16"/>
      <c r="J55" s="25"/>
      <c r="K55" s="25"/>
      <c r="L55" s="15"/>
      <c r="M55" s="16"/>
      <c r="N55" s="475"/>
      <c r="O55" s="534"/>
    </row>
    <row r="56" spans="2:17" s="1" customFormat="1" ht="15.95" customHeight="1" x14ac:dyDescent="0.2">
      <c r="B56" s="9"/>
      <c r="C56" s="9"/>
      <c r="D56" s="9"/>
      <c r="E56" s="9"/>
      <c r="F56" s="121"/>
      <c r="G56" s="136"/>
      <c r="H56" s="9"/>
      <c r="I56" s="9"/>
      <c r="J56" s="9"/>
      <c r="K56" s="9"/>
      <c r="L56" s="9"/>
      <c r="M56" s="9"/>
      <c r="N56" s="162"/>
      <c r="O56" s="145"/>
    </row>
    <row r="57" spans="2:17" s="1" customFormat="1" ht="15.95" customHeight="1" x14ac:dyDescent="0.2">
      <c r="B57" s="9"/>
      <c r="C57" s="9"/>
      <c r="D57" s="9"/>
      <c r="E57" s="9"/>
      <c r="F57" s="121"/>
      <c r="G57" s="136"/>
      <c r="H57" s="9"/>
      <c r="I57" s="9"/>
      <c r="J57" s="9"/>
      <c r="K57" s="9"/>
      <c r="L57" s="275"/>
      <c r="M57" s="9"/>
      <c r="N57" s="162"/>
      <c r="O57" s="145"/>
    </row>
    <row r="58" spans="2:17" s="1" customFormat="1" ht="12.95" customHeight="1" x14ac:dyDescent="0.2">
      <c r="B58" s="9"/>
      <c r="C58" s="9"/>
      <c r="D58" s="9"/>
      <c r="E58" s="9"/>
      <c r="F58" s="121"/>
      <c r="G58" s="136"/>
      <c r="H58" s="9"/>
      <c r="I58" s="9"/>
      <c r="J58" s="9"/>
      <c r="K58" s="9"/>
      <c r="L58" s="9"/>
      <c r="M58" s="9"/>
      <c r="N58" s="162"/>
      <c r="O58" s="145"/>
    </row>
    <row r="59" spans="2:17" ht="12.95" customHeight="1" x14ac:dyDescent="0.2">
      <c r="F59" s="121"/>
      <c r="G59" s="136"/>
      <c r="N59" s="162"/>
    </row>
    <row r="60" spans="2:17" ht="14.25" x14ac:dyDescent="0.2">
      <c r="F60" s="121"/>
      <c r="G60" s="136"/>
      <c r="N60" s="162"/>
    </row>
    <row r="61" spans="2:17" ht="14.25" x14ac:dyDescent="0.2">
      <c r="F61" s="121"/>
      <c r="G61" s="136"/>
      <c r="N61" s="162"/>
    </row>
    <row r="62" spans="2:17" ht="14.25" x14ac:dyDescent="0.2">
      <c r="F62" s="121"/>
      <c r="G62" s="136"/>
      <c r="N62" s="162"/>
    </row>
    <row r="63" spans="2:17" ht="14.25" x14ac:dyDescent="0.2">
      <c r="F63" s="121"/>
      <c r="G63" s="136"/>
      <c r="N63" s="162"/>
    </row>
    <row r="64" spans="2:17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21"/>
      <c r="N70" s="162"/>
    </row>
    <row r="71" spans="6:14" ht="14.25" x14ac:dyDescent="0.2">
      <c r="F71" s="121"/>
      <c r="G71" s="121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x14ac:dyDescent="0.2">
      <c r="G87" s="121"/>
    </row>
    <row r="88" spans="6:14" x14ac:dyDescent="0.2">
      <c r="G88" s="121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B1:O94"/>
  <sheetViews>
    <sheetView topLeftCell="H1" zoomScaleNormal="100" workbookViewId="0">
      <selection activeCell="N25" sqref="N2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42578125" style="9" customWidth="1"/>
    <col min="4" max="5" width="5" style="9" customWidth="1"/>
    <col min="6" max="7" width="8.7109375" style="17" customWidth="1"/>
    <col min="8" max="8" width="45.7109375" style="9" customWidth="1"/>
    <col min="9" max="13" width="14.7109375" style="9" customWidth="1"/>
    <col min="14" max="14" width="15.7109375" style="9" customWidth="1"/>
    <col min="15" max="15" width="6.85546875" style="145" customWidth="1"/>
    <col min="16" max="16384" width="9.140625" style="9"/>
  </cols>
  <sheetData>
    <row r="1" spans="2:15" ht="13.5" thickBot="1" x14ac:dyDescent="0.25"/>
    <row r="2" spans="2:15" s="63" customFormat="1" ht="20.100000000000001" customHeight="1" thickTop="1" thickBot="1" x14ac:dyDescent="0.25">
      <c r="B2" s="638" t="s">
        <v>571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59"/>
    </row>
    <row r="3" spans="2:15" s="1" customFormat="1" ht="8.1" customHeight="1" thickTop="1" thickBot="1" x14ac:dyDescent="0.3">
      <c r="F3" s="2"/>
      <c r="G3" s="2"/>
      <c r="H3" s="641"/>
      <c r="I3" s="641"/>
      <c r="J3" s="105"/>
      <c r="K3" s="105"/>
      <c r="L3" s="59"/>
      <c r="M3" s="59"/>
      <c r="N3" s="59"/>
      <c r="O3" s="144"/>
    </row>
    <row r="4" spans="2:15" s="1" customFormat="1" ht="39" customHeight="1" x14ac:dyDescent="0.2">
      <c r="B4" s="645" t="s">
        <v>373</v>
      </c>
      <c r="C4" s="647" t="s">
        <v>548</v>
      </c>
      <c r="D4" s="647" t="s">
        <v>549</v>
      </c>
      <c r="E4" s="663" t="s">
        <v>550</v>
      </c>
      <c r="F4" s="660" t="s">
        <v>374</v>
      </c>
      <c r="G4" s="649" t="s">
        <v>375</v>
      </c>
      <c r="H4" s="651" t="s">
        <v>148</v>
      </c>
      <c r="I4" s="660" t="s">
        <v>149</v>
      </c>
      <c r="J4" s="664" t="s">
        <v>107</v>
      </c>
      <c r="K4" s="657" t="s">
        <v>151</v>
      </c>
      <c r="L4" s="642" t="s">
        <v>152</v>
      </c>
      <c r="M4" s="643"/>
      <c r="N4" s="644"/>
      <c r="O4" s="654" t="s">
        <v>551</v>
      </c>
    </row>
    <row r="5" spans="2:15" s="1" customFormat="1" ht="27" customHeight="1" x14ac:dyDescent="0.2">
      <c r="B5" s="646"/>
      <c r="C5" s="648"/>
      <c r="D5" s="648"/>
      <c r="E5" s="650"/>
      <c r="F5" s="652"/>
      <c r="G5" s="650"/>
      <c r="H5" s="652"/>
      <c r="I5" s="652"/>
      <c r="J5" s="652"/>
      <c r="K5" s="658"/>
      <c r="L5" s="262" t="s">
        <v>377</v>
      </c>
      <c r="M5" s="160" t="s">
        <v>378</v>
      </c>
      <c r="N5" s="448" t="s">
        <v>379</v>
      </c>
      <c r="O5" s="655"/>
    </row>
    <row r="6" spans="2:15" s="2" customFormat="1" ht="12.95" customHeight="1" x14ac:dyDescent="0.2">
      <c r="B6" s="508">
        <v>1</v>
      </c>
      <c r="C6" s="510">
        <v>2</v>
      </c>
      <c r="D6" s="510">
        <v>3</v>
      </c>
      <c r="E6" s="510">
        <v>4</v>
      </c>
      <c r="F6" s="510">
        <v>5</v>
      </c>
      <c r="G6" s="510">
        <v>6</v>
      </c>
      <c r="H6" s="510">
        <v>7</v>
      </c>
      <c r="I6" s="511">
        <v>8</v>
      </c>
      <c r="J6" s="510">
        <v>9</v>
      </c>
      <c r="K6" s="510">
        <v>10</v>
      </c>
      <c r="L6" s="508">
        <v>11</v>
      </c>
      <c r="M6" s="510">
        <v>12</v>
      </c>
      <c r="N6" s="513" t="s">
        <v>552</v>
      </c>
      <c r="O6" s="520" t="s">
        <v>553</v>
      </c>
    </row>
    <row r="7" spans="2:15" s="2" customFormat="1" ht="12.95" customHeight="1" x14ac:dyDescent="0.25">
      <c r="B7" s="6" t="s">
        <v>561</v>
      </c>
      <c r="C7" s="7" t="s">
        <v>554</v>
      </c>
      <c r="D7" s="7" t="s">
        <v>572</v>
      </c>
      <c r="E7" s="285" t="s">
        <v>556</v>
      </c>
      <c r="F7" s="5"/>
      <c r="G7" s="5"/>
      <c r="H7" s="5"/>
      <c r="I7" s="5"/>
      <c r="J7" s="5"/>
      <c r="K7" s="5"/>
      <c r="L7" s="4"/>
      <c r="M7" s="5"/>
      <c r="N7" s="479"/>
      <c r="O7" s="531"/>
    </row>
    <row r="8" spans="2:15" s="1" customFormat="1" ht="12.95" customHeight="1" x14ac:dyDescent="0.25">
      <c r="B8" s="12"/>
      <c r="C8" s="8"/>
      <c r="D8" s="8"/>
      <c r="E8" s="8"/>
      <c r="F8" s="118">
        <v>611000</v>
      </c>
      <c r="G8" s="133"/>
      <c r="H8" s="23" t="s">
        <v>388</v>
      </c>
      <c r="I8" s="151">
        <f t="shared" ref="I8:K8" si="0">SUM(I9:I11)</f>
        <v>81180</v>
      </c>
      <c r="J8" s="151">
        <f t="shared" si="0"/>
        <v>81180</v>
      </c>
      <c r="K8" s="151">
        <f t="shared" si="0"/>
        <v>37992</v>
      </c>
      <c r="L8" s="320">
        <f>SUM(L9:L11)</f>
        <v>88910</v>
      </c>
      <c r="M8" s="154">
        <f>SUM(M9:M11)</f>
        <v>0</v>
      </c>
      <c r="N8" s="480">
        <f>SUM(N9:N11)</f>
        <v>88910</v>
      </c>
      <c r="O8" s="532">
        <f t="shared" ref="O8:O29" si="1">IF(J8=0,"",N8/J8*100)</f>
        <v>109.52204976595222</v>
      </c>
    </row>
    <row r="9" spans="2:15" ht="12.95" customHeight="1" x14ac:dyDescent="0.2">
      <c r="B9" s="10"/>
      <c r="C9" s="11"/>
      <c r="D9" s="11"/>
      <c r="E9" s="11"/>
      <c r="F9" s="119">
        <v>611100</v>
      </c>
      <c r="G9" s="134"/>
      <c r="H9" s="22" t="s">
        <v>389</v>
      </c>
      <c r="I9" s="152">
        <v>70730</v>
      </c>
      <c r="J9" s="152">
        <v>70730</v>
      </c>
      <c r="K9" s="152">
        <v>33526</v>
      </c>
      <c r="L9" s="250">
        <f>70050+2*250+100</f>
        <v>70650</v>
      </c>
      <c r="M9" s="152">
        <v>0</v>
      </c>
      <c r="N9" s="481">
        <f>SUM(L9:M9)</f>
        <v>70650</v>
      </c>
      <c r="O9" s="533">
        <f t="shared" si="1"/>
        <v>99.886893821575001</v>
      </c>
    </row>
    <row r="10" spans="2:15" ht="12.95" customHeight="1" x14ac:dyDescent="0.2">
      <c r="B10" s="10"/>
      <c r="C10" s="11"/>
      <c r="D10" s="11"/>
      <c r="E10" s="11"/>
      <c r="F10" s="119">
        <v>611200</v>
      </c>
      <c r="G10" s="134"/>
      <c r="H10" s="22" t="s">
        <v>390</v>
      </c>
      <c r="I10" s="152">
        <v>10450</v>
      </c>
      <c r="J10" s="152">
        <v>10450</v>
      </c>
      <c r="K10" s="152">
        <v>4466</v>
      </c>
      <c r="L10" s="250">
        <f>11800+100+4*1390+2*400</f>
        <v>18260</v>
      </c>
      <c r="M10" s="152">
        <v>0</v>
      </c>
      <c r="N10" s="481">
        <f t="shared" ref="N10" si="2">SUM(L10:M10)</f>
        <v>18260</v>
      </c>
      <c r="O10" s="533">
        <f t="shared" si="1"/>
        <v>174.73684210526318</v>
      </c>
    </row>
    <row r="11" spans="2:15" ht="8.1" customHeight="1" x14ac:dyDescent="0.2">
      <c r="B11" s="10"/>
      <c r="C11" s="11"/>
      <c r="D11" s="11"/>
      <c r="E11" s="11"/>
      <c r="F11" s="119"/>
      <c r="G11" s="134"/>
      <c r="H11" s="22"/>
      <c r="I11" s="152"/>
      <c r="J11" s="152"/>
      <c r="K11" s="152"/>
      <c r="L11" s="250"/>
      <c r="M11" s="152"/>
      <c r="N11" s="481"/>
      <c r="O11" s="533" t="str">
        <f t="shared" si="1"/>
        <v/>
      </c>
    </row>
    <row r="12" spans="2:15" s="1" customFormat="1" ht="12.95" customHeight="1" x14ac:dyDescent="0.25">
      <c r="B12" s="12"/>
      <c r="C12" s="8"/>
      <c r="D12" s="8"/>
      <c r="E12" s="8"/>
      <c r="F12" s="118">
        <v>612000</v>
      </c>
      <c r="G12" s="133"/>
      <c r="H12" s="23" t="s">
        <v>394</v>
      </c>
      <c r="I12" s="151">
        <f t="shared" ref="I12:K12" si="3">I13</f>
        <v>7680</v>
      </c>
      <c r="J12" s="151">
        <f t="shared" si="3"/>
        <v>7680</v>
      </c>
      <c r="K12" s="151">
        <f t="shared" si="3"/>
        <v>3520</v>
      </c>
      <c r="L12" s="320">
        <f t="shared" ref="L12:N12" si="4">L13</f>
        <v>7730</v>
      </c>
      <c r="M12" s="154">
        <f t="shared" si="4"/>
        <v>0</v>
      </c>
      <c r="N12" s="480">
        <f t="shared" si="4"/>
        <v>7730</v>
      </c>
      <c r="O12" s="532">
        <f t="shared" si="1"/>
        <v>100.65104166666667</v>
      </c>
    </row>
    <row r="13" spans="2:15" ht="12.95" customHeight="1" x14ac:dyDescent="0.2">
      <c r="B13" s="10"/>
      <c r="C13" s="11"/>
      <c r="D13" s="11"/>
      <c r="E13" s="11"/>
      <c r="F13" s="119">
        <v>612100</v>
      </c>
      <c r="G13" s="134"/>
      <c r="H13" s="297" t="s">
        <v>395</v>
      </c>
      <c r="I13" s="152">
        <v>7680</v>
      </c>
      <c r="J13" s="152">
        <v>7680</v>
      </c>
      <c r="K13" s="152">
        <v>3520</v>
      </c>
      <c r="L13" s="250">
        <f>7650+2*30+20</f>
        <v>7730</v>
      </c>
      <c r="M13" s="152">
        <v>0</v>
      </c>
      <c r="N13" s="481">
        <f>SUM(L13:M13)</f>
        <v>7730</v>
      </c>
      <c r="O13" s="533">
        <f t="shared" si="1"/>
        <v>100.65104166666667</v>
      </c>
    </row>
    <row r="14" spans="2:15" ht="8.1" customHeight="1" x14ac:dyDescent="0.2">
      <c r="B14" s="10"/>
      <c r="C14" s="11"/>
      <c r="D14" s="11"/>
      <c r="E14" s="11"/>
      <c r="F14" s="119"/>
      <c r="G14" s="134"/>
      <c r="H14" s="22"/>
      <c r="I14" s="152"/>
      <c r="J14" s="152"/>
      <c r="K14" s="152"/>
      <c r="L14" s="250"/>
      <c r="M14" s="152"/>
      <c r="N14" s="457"/>
      <c r="O14" s="533" t="str">
        <f t="shared" si="1"/>
        <v/>
      </c>
    </row>
    <row r="15" spans="2:15" s="1" customFormat="1" ht="12.95" customHeight="1" x14ac:dyDescent="0.25">
      <c r="B15" s="12"/>
      <c r="C15" s="8"/>
      <c r="D15" s="8"/>
      <c r="E15" s="8"/>
      <c r="F15" s="118">
        <v>613000</v>
      </c>
      <c r="G15" s="133"/>
      <c r="H15" s="23" t="s">
        <v>400</v>
      </c>
      <c r="I15" s="151">
        <f t="shared" ref="I15:K15" si="5">SUM(I16:I24)</f>
        <v>1530</v>
      </c>
      <c r="J15" s="151">
        <f t="shared" si="5"/>
        <v>1530</v>
      </c>
      <c r="K15" s="151">
        <f t="shared" si="5"/>
        <v>107</v>
      </c>
      <c r="L15" s="321">
        <f>SUM(L16:L24)</f>
        <v>1030</v>
      </c>
      <c r="M15" s="156">
        <f>SUM(M16:M24)</f>
        <v>0</v>
      </c>
      <c r="N15" s="455">
        <f>SUM(N16:N24)</f>
        <v>1030</v>
      </c>
      <c r="O15" s="532">
        <f t="shared" si="1"/>
        <v>67.320261437908499</v>
      </c>
    </row>
    <row r="16" spans="2:15" ht="12.95" customHeight="1" x14ac:dyDescent="0.2">
      <c r="B16" s="10"/>
      <c r="C16" s="11"/>
      <c r="D16" s="11"/>
      <c r="E16" s="11"/>
      <c r="F16" s="119">
        <v>613100</v>
      </c>
      <c r="G16" s="134"/>
      <c r="H16" s="22" t="s">
        <v>401</v>
      </c>
      <c r="I16" s="152">
        <v>500</v>
      </c>
      <c r="J16" s="152">
        <v>500</v>
      </c>
      <c r="K16" s="152">
        <v>0</v>
      </c>
      <c r="L16" s="250">
        <v>500</v>
      </c>
      <c r="M16" s="152">
        <v>0</v>
      </c>
      <c r="N16" s="481">
        <f t="shared" ref="N16:N24" si="6">SUM(L16:M16)</f>
        <v>500</v>
      </c>
      <c r="O16" s="533">
        <f t="shared" si="1"/>
        <v>100</v>
      </c>
    </row>
    <row r="17" spans="2:15" ht="12.95" customHeight="1" x14ac:dyDescent="0.2">
      <c r="B17" s="10"/>
      <c r="C17" s="11"/>
      <c r="D17" s="11"/>
      <c r="E17" s="11"/>
      <c r="F17" s="119">
        <v>613200</v>
      </c>
      <c r="G17" s="134"/>
      <c r="H17" s="22" t="s">
        <v>402</v>
      </c>
      <c r="I17" s="152">
        <v>0</v>
      </c>
      <c r="J17" s="152">
        <v>0</v>
      </c>
      <c r="K17" s="152">
        <v>0</v>
      </c>
      <c r="L17" s="250">
        <v>0</v>
      </c>
      <c r="M17" s="152">
        <v>0</v>
      </c>
      <c r="N17" s="481">
        <f t="shared" si="6"/>
        <v>0</v>
      </c>
      <c r="O17" s="533" t="str">
        <f t="shared" si="1"/>
        <v/>
      </c>
    </row>
    <row r="18" spans="2:15" ht="12.95" customHeight="1" x14ac:dyDescent="0.2">
      <c r="B18" s="10"/>
      <c r="C18" s="11"/>
      <c r="D18" s="11"/>
      <c r="E18" s="11"/>
      <c r="F18" s="119">
        <v>613300</v>
      </c>
      <c r="G18" s="134"/>
      <c r="H18" s="22" t="s">
        <v>403</v>
      </c>
      <c r="I18" s="152">
        <v>0</v>
      </c>
      <c r="J18" s="152">
        <v>0</v>
      </c>
      <c r="K18" s="152">
        <v>0</v>
      </c>
      <c r="L18" s="250">
        <v>0</v>
      </c>
      <c r="M18" s="152">
        <v>0</v>
      </c>
      <c r="N18" s="481">
        <f t="shared" si="6"/>
        <v>0</v>
      </c>
      <c r="O18" s="533" t="str">
        <f t="shared" si="1"/>
        <v/>
      </c>
    </row>
    <row r="19" spans="2:15" ht="12.95" customHeight="1" x14ac:dyDescent="0.2">
      <c r="B19" s="10"/>
      <c r="C19" s="11"/>
      <c r="D19" s="11"/>
      <c r="E19" s="11"/>
      <c r="F19" s="119">
        <v>613400</v>
      </c>
      <c r="G19" s="134"/>
      <c r="H19" s="22" t="s">
        <v>404</v>
      </c>
      <c r="I19" s="152">
        <v>0</v>
      </c>
      <c r="J19" s="152">
        <v>0</v>
      </c>
      <c r="K19" s="152">
        <v>0</v>
      </c>
      <c r="L19" s="250">
        <v>0</v>
      </c>
      <c r="M19" s="152">
        <v>0</v>
      </c>
      <c r="N19" s="481">
        <f t="shared" si="6"/>
        <v>0</v>
      </c>
      <c r="O19" s="533" t="str">
        <f t="shared" si="1"/>
        <v/>
      </c>
    </row>
    <row r="20" spans="2:15" ht="12.95" customHeight="1" x14ac:dyDescent="0.2">
      <c r="B20" s="10"/>
      <c r="C20" s="11"/>
      <c r="D20" s="11"/>
      <c r="E20" s="11"/>
      <c r="F20" s="119">
        <v>613500</v>
      </c>
      <c r="G20" s="134"/>
      <c r="H20" s="22" t="s">
        <v>408</v>
      </c>
      <c r="I20" s="152">
        <v>0</v>
      </c>
      <c r="J20" s="152">
        <v>0</v>
      </c>
      <c r="K20" s="152">
        <v>0</v>
      </c>
      <c r="L20" s="250">
        <v>0</v>
      </c>
      <c r="M20" s="152">
        <v>0</v>
      </c>
      <c r="N20" s="481">
        <f t="shared" si="6"/>
        <v>0</v>
      </c>
      <c r="O20" s="533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19">
        <v>613600</v>
      </c>
      <c r="G21" s="134"/>
      <c r="H21" s="22" t="s">
        <v>409</v>
      </c>
      <c r="I21" s="152">
        <v>0</v>
      </c>
      <c r="J21" s="152">
        <v>0</v>
      </c>
      <c r="K21" s="152">
        <v>0</v>
      </c>
      <c r="L21" s="250">
        <v>0</v>
      </c>
      <c r="M21" s="152">
        <v>0</v>
      </c>
      <c r="N21" s="481">
        <f t="shared" si="6"/>
        <v>0</v>
      </c>
      <c r="O21" s="533" t="str">
        <f t="shared" si="1"/>
        <v/>
      </c>
    </row>
    <row r="22" spans="2:15" ht="12.95" customHeight="1" x14ac:dyDescent="0.2">
      <c r="B22" s="10"/>
      <c r="C22" s="11"/>
      <c r="D22" s="11"/>
      <c r="E22" s="11"/>
      <c r="F22" s="119">
        <v>613700</v>
      </c>
      <c r="G22" s="134"/>
      <c r="H22" s="22" t="s">
        <v>410</v>
      </c>
      <c r="I22" s="152">
        <v>500</v>
      </c>
      <c r="J22" s="152">
        <v>500</v>
      </c>
      <c r="K22" s="152">
        <v>0</v>
      </c>
      <c r="L22" s="250">
        <v>0</v>
      </c>
      <c r="M22" s="152">
        <v>0</v>
      </c>
      <c r="N22" s="481">
        <f t="shared" si="6"/>
        <v>0</v>
      </c>
      <c r="O22" s="533">
        <f t="shared" si="1"/>
        <v>0</v>
      </c>
    </row>
    <row r="23" spans="2:15" ht="12.95" customHeight="1" x14ac:dyDescent="0.2">
      <c r="B23" s="10"/>
      <c r="C23" s="11"/>
      <c r="D23" s="11"/>
      <c r="E23" s="11"/>
      <c r="F23" s="119">
        <v>613800</v>
      </c>
      <c r="G23" s="134"/>
      <c r="H23" s="22" t="s">
        <v>414</v>
      </c>
      <c r="I23" s="152">
        <v>0</v>
      </c>
      <c r="J23" s="152">
        <v>0</v>
      </c>
      <c r="K23" s="152">
        <v>0</v>
      </c>
      <c r="L23" s="250">
        <v>0</v>
      </c>
      <c r="M23" s="152">
        <v>0</v>
      </c>
      <c r="N23" s="481">
        <f t="shared" si="6"/>
        <v>0</v>
      </c>
      <c r="O23" s="533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19">
        <v>613900</v>
      </c>
      <c r="G24" s="134"/>
      <c r="H24" s="22" t="s">
        <v>417</v>
      </c>
      <c r="I24" s="152">
        <v>530</v>
      </c>
      <c r="J24" s="152">
        <v>530</v>
      </c>
      <c r="K24" s="152">
        <v>107</v>
      </c>
      <c r="L24" s="250">
        <v>530</v>
      </c>
      <c r="M24" s="152">
        <v>0</v>
      </c>
      <c r="N24" s="481">
        <f t="shared" si="6"/>
        <v>530</v>
      </c>
      <c r="O24" s="533">
        <f t="shared" si="1"/>
        <v>100</v>
      </c>
    </row>
    <row r="25" spans="2:15" s="1" customFormat="1" ht="8.1" customHeight="1" x14ac:dyDescent="0.2">
      <c r="B25" s="12"/>
      <c r="C25" s="8"/>
      <c r="D25" s="8"/>
      <c r="E25" s="284"/>
      <c r="F25" s="127"/>
      <c r="G25" s="143"/>
      <c r="H25" s="23"/>
      <c r="I25" s="152"/>
      <c r="J25" s="152"/>
      <c r="K25" s="152"/>
      <c r="L25" s="250"/>
      <c r="M25" s="152"/>
      <c r="N25" s="580"/>
      <c r="O25" s="533" t="str">
        <f t="shared" si="1"/>
        <v/>
      </c>
    </row>
    <row r="26" spans="2:15" s="1" customFormat="1" ht="12.95" customHeight="1" x14ac:dyDescent="0.25">
      <c r="B26" s="12"/>
      <c r="C26" s="8"/>
      <c r="D26" s="8"/>
      <c r="E26" s="8"/>
      <c r="F26" s="118">
        <v>821000</v>
      </c>
      <c r="G26" s="133"/>
      <c r="H26" s="23" t="s">
        <v>526</v>
      </c>
      <c r="I26" s="151">
        <f t="shared" ref="I26:K26" si="7">SUM(I27:I28)</f>
        <v>1000</v>
      </c>
      <c r="J26" s="151">
        <f t="shared" si="7"/>
        <v>1000</v>
      </c>
      <c r="K26" s="151">
        <f t="shared" si="7"/>
        <v>860</v>
      </c>
      <c r="L26" s="320">
        <f t="shared" ref="L26:M26" si="8">SUM(L27:L28)</f>
        <v>1000</v>
      </c>
      <c r="M26" s="154">
        <f t="shared" si="8"/>
        <v>0</v>
      </c>
      <c r="N26" s="455">
        <f t="shared" ref="N26" si="9">SUM(N27:N28)</f>
        <v>1000</v>
      </c>
      <c r="O26" s="532">
        <f t="shared" si="1"/>
        <v>100</v>
      </c>
    </row>
    <row r="27" spans="2:15" ht="12.95" customHeight="1" x14ac:dyDescent="0.2">
      <c r="B27" s="10"/>
      <c r="C27" s="11"/>
      <c r="D27" s="11"/>
      <c r="E27" s="11"/>
      <c r="F27" s="119">
        <v>821200</v>
      </c>
      <c r="G27" s="134"/>
      <c r="H27" s="22" t="s">
        <v>528</v>
      </c>
      <c r="I27" s="152">
        <v>0</v>
      </c>
      <c r="J27" s="152">
        <v>0</v>
      </c>
      <c r="K27" s="152">
        <v>0</v>
      </c>
      <c r="L27" s="250">
        <v>0</v>
      </c>
      <c r="M27" s="152">
        <v>0</v>
      </c>
      <c r="N27" s="481">
        <f t="shared" ref="N27:N28" si="10">SUM(L27:M27)</f>
        <v>0</v>
      </c>
      <c r="O27" s="533" t="str">
        <f t="shared" si="1"/>
        <v/>
      </c>
    </row>
    <row r="28" spans="2:15" ht="12.95" customHeight="1" x14ac:dyDescent="0.2">
      <c r="B28" s="10"/>
      <c r="C28" s="11"/>
      <c r="D28" s="11"/>
      <c r="E28" s="11"/>
      <c r="F28" s="119">
        <v>821300</v>
      </c>
      <c r="G28" s="134"/>
      <c r="H28" s="22" t="s">
        <v>529</v>
      </c>
      <c r="I28" s="152">
        <v>1000</v>
      </c>
      <c r="J28" s="152">
        <v>1000</v>
      </c>
      <c r="K28" s="152">
        <v>860</v>
      </c>
      <c r="L28" s="250">
        <v>1000</v>
      </c>
      <c r="M28" s="152">
        <v>0</v>
      </c>
      <c r="N28" s="481">
        <f t="shared" si="10"/>
        <v>1000</v>
      </c>
      <c r="O28" s="533">
        <f t="shared" si="1"/>
        <v>100</v>
      </c>
    </row>
    <row r="29" spans="2:15" ht="8.1" customHeight="1" x14ac:dyDescent="0.25">
      <c r="B29" s="10"/>
      <c r="C29" s="11"/>
      <c r="D29" s="11"/>
      <c r="E29" s="11"/>
      <c r="F29" s="119"/>
      <c r="G29" s="134"/>
      <c r="H29" s="22"/>
      <c r="I29" s="151"/>
      <c r="J29" s="151"/>
      <c r="K29" s="151"/>
      <c r="L29" s="320"/>
      <c r="M29" s="154"/>
      <c r="N29" s="455"/>
      <c r="O29" s="533" t="str">
        <f t="shared" si="1"/>
        <v/>
      </c>
    </row>
    <row r="30" spans="2:15" s="1" customFormat="1" ht="12.95" customHeight="1" x14ac:dyDescent="0.25">
      <c r="B30" s="12"/>
      <c r="C30" s="8"/>
      <c r="D30" s="8"/>
      <c r="E30" s="8"/>
      <c r="F30" s="118"/>
      <c r="G30" s="133"/>
      <c r="H30" s="23" t="s">
        <v>540</v>
      </c>
      <c r="I30" s="151">
        <v>2</v>
      </c>
      <c r="J30" s="151">
        <v>2</v>
      </c>
      <c r="K30" s="151">
        <v>2</v>
      </c>
      <c r="L30" s="320">
        <v>2</v>
      </c>
      <c r="M30" s="154"/>
      <c r="N30" s="455">
        <v>2</v>
      </c>
      <c r="O30" s="533"/>
    </row>
    <row r="31" spans="2:15" s="1" customFormat="1" ht="12.95" customHeight="1" x14ac:dyDescent="0.25">
      <c r="B31" s="12"/>
      <c r="C31" s="8"/>
      <c r="D31" s="8"/>
      <c r="E31" s="8"/>
      <c r="F31" s="118"/>
      <c r="G31" s="133"/>
      <c r="H31" s="23" t="s">
        <v>557</v>
      </c>
      <c r="I31" s="14">
        <f t="shared" ref="I31:N31" si="11">I8+I12+I15+I26</f>
        <v>91390</v>
      </c>
      <c r="J31" s="14">
        <f t="shared" si="11"/>
        <v>91390</v>
      </c>
      <c r="K31" s="14">
        <f t="shared" si="11"/>
        <v>42479</v>
      </c>
      <c r="L31" s="259">
        <f t="shared" si="11"/>
        <v>98670</v>
      </c>
      <c r="M31" s="14">
        <f t="shared" si="11"/>
        <v>0</v>
      </c>
      <c r="N31" s="455">
        <f t="shared" si="11"/>
        <v>98670</v>
      </c>
      <c r="O31" s="532">
        <f>IF(J31=0,"",N31/J31*100)</f>
        <v>107.96586059743956</v>
      </c>
    </row>
    <row r="32" spans="2:15" s="1" customFormat="1" ht="12.95" customHeight="1" x14ac:dyDescent="0.25">
      <c r="B32" s="12"/>
      <c r="C32" s="8"/>
      <c r="D32" s="8"/>
      <c r="E32" s="8"/>
      <c r="F32" s="118"/>
      <c r="G32" s="133"/>
      <c r="H32" s="8" t="s">
        <v>558</v>
      </c>
      <c r="I32" s="14"/>
      <c r="J32" s="14"/>
      <c r="K32" s="14"/>
      <c r="L32" s="259"/>
      <c r="M32" s="14"/>
      <c r="N32" s="455"/>
      <c r="O32" s="533" t="str">
        <f>IF(J32=0,"",N32/J32*100)</f>
        <v/>
      </c>
    </row>
    <row r="33" spans="2:15" s="1" customFormat="1" ht="12.95" customHeight="1" x14ac:dyDescent="0.2">
      <c r="B33" s="12"/>
      <c r="C33" s="8"/>
      <c r="D33" s="8"/>
      <c r="E33" s="8"/>
      <c r="F33" s="118"/>
      <c r="G33" s="133"/>
      <c r="H33" s="8" t="s">
        <v>559</v>
      </c>
      <c r="I33" s="27"/>
      <c r="J33" s="27"/>
      <c r="K33" s="27"/>
      <c r="L33" s="258"/>
      <c r="M33" s="27"/>
      <c r="N33" s="457"/>
      <c r="O33" s="533" t="str">
        <f>IF(J33=0,"",N33/J33*100)</f>
        <v/>
      </c>
    </row>
    <row r="34" spans="2:15" ht="8.1" customHeight="1" thickBot="1" x14ac:dyDescent="0.25">
      <c r="B34" s="15"/>
      <c r="C34" s="16"/>
      <c r="D34" s="16"/>
      <c r="E34" s="16"/>
      <c r="F34" s="120"/>
      <c r="G34" s="135"/>
      <c r="H34" s="16"/>
      <c r="I34" s="16"/>
      <c r="J34" s="16"/>
      <c r="K34" s="16"/>
      <c r="L34" s="15"/>
      <c r="M34" s="16"/>
      <c r="N34" s="475"/>
      <c r="O34" s="534"/>
    </row>
    <row r="35" spans="2:15" ht="12.95" customHeight="1" x14ac:dyDescent="0.2">
      <c r="F35" s="121"/>
      <c r="G35" s="136"/>
      <c r="N35" s="162"/>
    </row>
    <row r="36" spans="2:15" ht="12.95" customHeight="1" x14ac:dyDescent="0.2">
      <c r="F36" s="121"/>
      <c r="G36" s="136"/>
      <c r="N36" s="162"/>
    </row>
    <row r="37" spans="2:15" ht="12.95" customHeight="1" x14ac:dyDescent="0.2">
      <c r="F37" s="121"/>
      <c r="G37" s="136"/>
      <c r="N37" s="162"/>
    </row>
    <row r="38" spans="2:15" ht="12.95" customHeight="1" x14ac:dyDescent="0.2">
      <c r="F38" s="121"/>
      <c r="G38" s="136"/>
      <c r="N38" s="162"/>
    </row>
    <row r="39" spans="2:15" ht="12.95" customHeight="1" x14ac:dyDescent="0.2">
      <c r="F39" s="121"/>
      <c r="G39" s="136"/>
      <c r="N39" s="162"/>
    </row>
    <row r="40" spans="2:15" ht="12.95" customHeight="1" x14ac:dyDescent="0.2">
      <c r="F40" s="121"/>
      <c r="G40" s="136"/>
      <c r="N40" s="162"/>
    </row>
    <row r="41" spans="2:15" ht="12.95" customHeight="1" x14ac:dyDescent="0.2">
      <c r="F41" s="121"/>
      <c r="G41" s="136"/>
      <c r="N41" s="162"/>
    </row>
    <row r="42" spans="2:15" ht="12.95" customHeight="1" x14ac:dyDescent="0.2">
      <c r="F42" s="121"/>
      <c r="G42" s="136"/>
      <c r="N42" s="162"/>
    </row>
    <row r="43" spans="2:15" ht="12.95" customHeight="1" x14ac:dyDescent="0.2">
      <c r="F43" s="121"/>
      <c r="G43" s="136"/>
      <c r="N43" s="162"/>
    </row>
    <row r="44" spans="2:15" ht="12.95" customHeight="1" x14ac:dyDescent="0.2">
      <c r="F44" s="121"/>
      <c r="G44" s="136"/>
      <c r="N44" s="162"/>
    </row>
    <row r="45" spans="2:15" ht="12.95" customHeight="1" x14ac:dyDescent="0.2">
      <c r="F45" s="121"/>
      <c r="G45" s="136"/>
      <c r="N45" s="162"/>
    </row>
    <row r="46" spans="2:15" ht="12.95" customHeight="1" x14ac:dyDescent="0.2">
      <c r="F46" s="121"/>
      <c r="G46" s="136"/>
      <c r="N46" s="162"/>
    </row>
    <row r="47" spans="2:15" ht="12.95" customHeight="1" x14ac:dyDescent="0.2">
      <c r="F47" s="121"/>
      <c r="G47" s="136"/>
      <c r="N47" s="162"/>
    </row>
    <row r="48" spans="2:15" ht="12.95" customHeight="1" x14ac:dyDescent="0.2">
      <c r="F48" s="121"/>
      <c r="G48" s="136"/>
      <c r="N48" s="162"/>
    </row>
    <row r="49" spans="6:14" ht="12.95" customHeight="1" x14ac:dyDescent="0.2">
      <c r="F49" s="121"/>
      <c r="G49" s="136"/>
      <c r="N49" s="162"/>
    </row>
    <row r="50" spans="6:14" ht="12.95" customHeight="1" x14ac:dyDescent="0.2">
      <c r="F50" s="121"/>
      <c r="G50" s="136"/>
      <c r="N50" s="162"/>
    </row>
    <row r="51" spans="6:14" ht="12.95" customHeight="1" x14ac:dyDescent="0.2">
      <c r="F51" s="121"/>
      <c r="G51" s="136"/>
      <c r="N51" s="162"/>
    </row>
    <row r="52" spans="6:14" ht="12.95" customHeight="1" x14ac:dyDescent="0.2">
      <c r="F52" s="121"/>
      <c r="G52" s="136"/>
      <c r="N52" s="162"/>
    </row>
    <row r="53" spans="6:14" ht="12.95" customHeight="1" x14ac:dyDescent="0.2">
      <c r="F53" s="121"/>
      <c r="G53" s="136"/>
      <c r="N53" s="162"/>
    </row>
    <row r="54" spans="6:14" ht="12.95" customHeight="1" x14ac:dyDescent="0.2">
      <c r="F54" s="121"/>
      <c r="G54" s="136"/>
      <c r="N54" s="162"/>
    </row>
    <row r="55" spans="6:14" ht="12.95" customHeight="1" x14ac:dyDescent="0.2">
      <c r="F55" s="121"/>
      <c r="G55" s="136"/>
      <c r="N55" s="162"/>
    </row>
    <row r="56" spans="6:14" ht="12.95" customHeight="1" x14ac:dyDescent="0.2">
      <c r="F56" s="121"/>
      <c r="G56" s="136"/>
      <c r="N56" s="162"/>
    </row>
    <row r="57" spans="6:14" ht="12.95" customHeight="1" x14ac:dyDescent="0.2">
      <c r="F57" s="121"/>
      <c r="G57" s="136"/>
      <c r="N57" s="162"/>
    </row>
    <row r="58" spans="6:14" ht="17.100000000000001" customHeight="1" x14ac:dyDescent="0.2">
      <c r="F58" s="121"/>
      <c r="G58" s="136"/>
      <c r="N58" s="162"/>
    </row>
    <row r="59" spans="6:14" ht="14.25" x14ac:dyDescent="0.2">
      <c r="F59" s="121"/>
      <c r="G59" s="136"/>
      <c r="N59" s="162"/>
    </row>
    <row r="60" spans="6:14" ht="14.25" x14ac:dyDescent="0.2">
      <c r="F60" s="121"/>
      <c r="G60" s="136"/>
      <c r="N60" s="162"/>
    </row>
    <row r="61" spans="6:14" ht="14.25" x14ac:dyDescent="0.2">
      <c r="F61" s="121"/>
      <c r="G61" s="136"/>
      <c r="N61" s="162"/>
    </row>
    <row r="62" spans="6:14" ht="14.25" x14ac:dyDescent="0.2">
      <c r="F62" s="121"/>
      <c r="G62" s="136"/>
      <c r="N62" s="162"/>
    </row>
    <row r="63" spans="6:14" ht="14.25" x14ac:dyDescent="0.2">
      <c r="F63" s="121"/>
      <c r="G63" s="136"/>
      <c r="N63" s="162"/>
    </row>
    <row r="64" spans="6:14" ht="14.25" x14ac:dyDescent="0.2">
      <c r="F64" s="121"/>
      <c r="G64" s="136"/>
      <c r="N64" s="162"/>
    </row>
    <row r="65" spans="6:14" ht="14.25" x14ac:dyDescent="0.2">
      <c r="F65" s="121"/>
      <c r="G65" s="136"/>
      <c r="N65" s="162"/>
    </row>
    <row r="66" spans="6:14" ht="14.25" x14ac:dyDescent="0.2">
      <c r="F66" s="121"/>
      <c r="G66" s="136"/>
      <c r="N66" s="162"/>
    </row>
    <row r="67" spans="6:14" ht="14.25" x14ac:dyDescent="0.2">
      <c r="F67" s="121"/>
      <c r="G67" s="136"/>
      <c r="N67" s="162"/>
    </row>
    <row r="68" spans="6:14" ht="14.25" x14ac:dyDescent="0.2">
      <c r="F68" s="121"/>
      <c r="G68" s="136"/>
      <c r="N68" s="162"/>
    </row>
    <row r="69" spans="6:14" ht="14.25" x14ac:dyDescent="0.2">
      <c r="F69" s="121"/>
      <c r="G69" s="136"/>
      <c r="N69" s="162"/>
    </row>
    <row r="70" spans="6:14" ht="14.25" x14ac:dyDescent="0.2">
      <c r="F70" s="121"/>
      <c r="G70" s="136"/>
      <c r="N70" s="162"/>
    </row>
    <row r="71" spans="6:14" ht="14.25" x14ac:dyDescent="0.2">
      <c r="F71" s="121"/>
      <c r="G71" s="136"/>
      <c r="N71" s="162"/>
    </row>
    <row r="72" spans="6:14" ht="14.25" x14ac:dyDescent="0.2">
      <c r="F72" s="121"/>
      <c r="G72" s="121"/>
      <c r="N72" s="162"/>
    </row>
    <row r="73" spans="6:14" ht="14.25" x14ac:dyDescent="0.2">
      <c r="F73" s="121"/>
      <c r="G73" s="121"/>
      <c r="N73" s="162"/>
    </row>
    <row r="74" spans="6:14" ht="14.25" x14ac:dyDescent="0.2">
      <c r="F74" s="121"/>
      <c r="G74" s="121"/>
      <c r="N74" s="162"/>
    </row>
    <row r="75" spans="6:14" ht="14.25" x14ac:dyDescent="0.2">
      <c r="F75" s="121"/>
      <c r="G75" s="121"/>
      <c r="N75" s="162"/>
    </row>
    <row r="76" spans="6:14" ht="14.25" x14ac:dyDescent="0.2">
      <c r="F76" s="121"/>
      <c r="G76" s="121"/>
      <c r="N76" s="162"/>
    </row>
    <row r="77" spans="6:14" ht="14.25" x14ac:dyDescent="0.2">
      <c r="F77" s="121"/>
      <c r="G77" s="121"/>
      <c r="N77" s="162"/>
    </row>
    <row r="78" spans="6:14" ht="14.25" x14ac:dyDescent="0.2">
      <c r="F78" s="121"/>
      <c r="G78" s="121"/>
      <c r="N78" s="162"/>
    </row>
    <row r="79" spans="6:14" ht="14.25" x14ac:dyDescent="0.2">
      <c r="F79" s="121"/>
      <c r="G79" s="121"/>
      <c r="N79" s="162"/>
    </row>
    <row r="80" spans="6:14" ht="14.25" x14ac:dyDescent="0.2">
      <c r="F80" s="121"/>
      <c r="G80" s="121"/>
      <c r="N80" s="162"/>
    </row>
    <row r="81" spans="6:14" ht="14.25" x14ac:dyDescent="0.2">
      <c r="F81" s="121"/>
      <c r="G81" s="121"/>
      <c r="N81" s="162"/>
    </row>
    <row r="82" spans="6:14" ht="14.25" x14ac:dyDescent="0.2">
      <c r="F82" s="121"/>
      <c r="G82" s="121"/>
      <c r="N82" s="162"/>
    </row>
    <row r="83" spans="6:14" ht="14.25" x14ac:dyDescent="0.2">
      <c r="F83" s="121"/>
      <c r="G83" s="121"/>
      <c r="N83" s="162"/>
    </row>
    <row r="84" spans="6:14" ht="14.25" x14ac:dyDescent="0.2">
      <c r="F84" s="121"/>
      <c r="G84" s="121"/>
      <c r="N84" s="162"/>
    </row>
    <row r="85" spans="6:14" ht="14.25" x14ac:dyDescent="0.2">
      <c r="F85" s="121"/>
      <c r="G85" s="121"/>
      <c r="N85" s="162"/>
    </row>
    <row r="86" spans="6:14" ht="14.25" x14ac:dyDescent="0.2">
      <c r="F86" s="121"/>
      <c r="G86" s="121"/>
      <c r="N86" s="162"/>
    </row>
    <row r="87" spans="6:14" ht="14.25" x14ac:dyDescent="0.2">
      <c r="F87" s="121"/>
      <c r="G87" s="121"/>
      <c r="N87" s="162"/>
    </row>
    <row r="88" spans="6:14" ht="14.25" x14ac:dyDescent="0.2">
      <c r="F88" s="121"/>
      <c r="G88" s="121"/>
      <c r="N88" s="162"/>
    </row>
    <row r="89" spans="6:14" x14ac:dyDescent="0.2">
      <c r="G89" s="121"/>
    </row>
    <row r="90" spans="6:14" x14ac:dyDescent="0.2">
      <c r="G90" s="121"/>
    </row>
    <row r="91" spans="6:14" x14ac:dyDescent="0.2">
      <c r="G91" s="121"/>
    </row>
    <row r="92" spans="6:14" x14ac:dyDescent="0.2">
      <c r="G92" s="121"/>
    </row>
    <row r="93" spans="6:14" x14ac:dyDescent="0.2">
      <c r="G93" s="121"/>
    </row>
    <row r="94" spans="6:14" x14ac:dyDescent="0.2">
      <c r="G94" s="121"/>
    </row>
  </sheetData>
  <mergeCells count="14">
    <mergeCell ref="B2:O2"/>
    <mergeCell ref="O4:O5"/>
    <mergeCell ref="H4:H5"/>
    <mergeCell ref="H3:I3"/>
    <mergeCell ref="L4:N4"/>
    <mergeCell ref="B4:B5"/>
    <mergeCell ref="C4:C5"/>
    <mergeCell ref="D4:D5"/>
    <mergeCell ref="G4:G5"/>
    <mergeCell ref="F4:F5"/>
    <mergeCell ref="I4:I5"/>
    <mergeCell ref="J4:J5"/>
    <mergeCell ref="E4:E5"/>
    <mergeCell ref="K4:K5"/>
  </mergeCells>
  <phoneticPr fontId="2" type="noConversion"/>
  <pageMargins left="0.59055118110236227" right="0.31496062992125984" top="0.55118110236220474" bottom="0.51181102362204722" header="0.51181102362204722" footer="0.31496062992125984"/>
  <pageSetup paperSize="9" scale="73" firstPageNumber="3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47</vt:i4>
      </vt:variant>
      <vt:variant>
        <vt:lpstr>Imenovani rasponi</vt:lpstr>
      </vt:variant>
      <vt:variant>
        <vt:i4>42</vt:i4>
      </vt:variant>
    </vt:vector>
  </HeadingPairs>
  <TitlesOfParts>
    <vt:vector size="89" baseType="lpstr">
      <vt:lpstr>Naslovnica</vt:lpstr>
      <vt:lpstr>Sadrzaj</vt:lpstr>
      <vt:lpstr>Uvod</vt:lpstr>
      <vt:lpstr>Prihodi</vt:lpstr>
      <vt:lpstr>Rashodi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Sumarno</vt:lpstr>
      <vt:lpstr>Zaposleni</vt:lpstr>
      <vt:lpstr>Funkcijska</vt:lpstr>
      <vt:lpstr>Kap.pror.</vt:lpstr>
      <vt:lpstr>Kraj</vt:lpstr>
      <vt:lpstr>Funkcijska!Ispis_naslova</vt:lpstr>
      <vt:lpstr>Prihodi!Ispis_naslova</vt:lpstr>
      <vt:lpstr>Rashodi!Ispis_naslova</vt:lpstr>
      <vt:lpstr>'10'!Podrucje_ispisa</vt:lpstr>
      <vt:lpstr>'11'!Podrucje_ispisa</vt:lpstr>
      <vt:lpstr>'12'!Podrucje_ispisa</vt:lpstr>
      <vt:lpstr>'13'!Podrucje_ispisa</vt:lpstr>
      <vt:lpstr>'14'!Podrucje_ispisa</vt:lpstr>
      <vt:lpstr>'15'!Podrucje_ispisa</vt:lpstr>
      <vt:lpstr>'16'!Podrucje_ispisa</vt:lpstr>
      <vt:lpstr>'17'!Podrucje_ispisa</vt:lpstr>
      <vt:lpstr>'18'!Podrucje_ispisa</vt:lpstr>
      <vt:lpstr>'19'!Podrucje_ispisa</vt:lpstr>
      <vt:lpstr>'20'!Podrucje_ispisa</vt:lpstr>
      <vt:lpstr>'21'!Podrucje_ispisa</vt:lpstr>
      <vt:lpstr>'22'!Podrucje_ispisa</vt:lpstr>
      <vt:lpstr>'23'!Podrucje_ispisa</vt:lpstr>
      <vt:lpstr>'24'!Podrucje_ispisa</vt:lpstr>
      <vt:lpstr>'25'!Podrucje_ispisa</vt:lpstr>
      <vt:lpstr>'26'!Podrucje_ispisa</vt:lpstr>
      <vt:lpstr>'27'!Podrucje_ispisa</vt:lpstr>
      <vt:lpstr>'28'!Podrucje_ispisa</vt:lpstr>
      <vt:lpstr>'29'!Podrucje_ispisa</vt:lpstr>
      <vt:lpstr>'30'!Podrucje_ispisa</vt:lpstr>
      <vt:lpstr>'31'!Podrucje_ispisa</vt:lpstr>
      <vt:lpstr>'32'!Podrucje_ispisa</vt:lpstr>
      <vt:lpstr>'33'!Podrucje_ispisa</vt:lpstr>
      <vt:lpstr>'34'!Podrucje_ispisa</vt:lpstr>
      <vt:lpstr>'35'!Podrucje_ispisa</vt:lpstr>
      <vt:lpstr>'36'!Podrucje_ispisa</vt:lpstr>
      <vt:lpstr>'37'!Podrucje_ispisa</vt:lpstr>
      <vt:lpstr>'5'!Podrucje_ispisa</vt:lpstr>
      <vt:lpstr>'7'!Podrucje_ispisa</vt:lpstr>
      <vt:lpstr>'8'!Podrucje_ispisa</vt:lpstr>
      <vt:lpstr>'9'!Podrucje_ispisa</vt:lpstr>
      <vt:lpstr>Funkcijska!Podrucje_ispisa</vt:lpstr>
      <vt:lpstr>Kap.pror.!Podrucje_ispisa</vt:lpstr>
      <vt:lpstr>Kraj!Podrucje_ispisa</vt:lpstr>
      <vt:lpstr>Prihodi!Podrucje_ispisa</vt:lpstr>
      <vt:lpstr>Rashodi!Podrucje_ispisa</vt:lpstr>
      <vt:lpstr>Sadrzaj!Podrucje_ispisa</vt:lpstr>
      <vt:lpstr>Uvod!Podrucje_ispisa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operater</dc:creator>
  <cp:keywords/>
  <dc:description/>
  <cp:lastModifiedBy>Vlada Županije Posavske</cp:lastModifiedBy>
  <cp:revision/>
  <cp:lastPrinted>2024-11-14T11:49:41Z</cp:lastPrinted>
  <dcterms:created xsi:type="dcterms:W3CDTF">2004-07-23T11:14:23Z</dcterms:created>
  <dcterms:modified xsi:type="dcterms:W3CDTF">2024-11-18T13:04:32Z</dcterms:modified>
  <cp:category/>
  <cp:contentStatus/>
</cp:coreProperties>
</file>