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orisnik\Desktop\77 skupština\"/>
    </mc:Choice>
  </mc:AlternateContent>
  <xr:revisionPtr revIDLastSave="0" documentId="8_{BC887FD5-CCFF-4624-BF9F-0CB659DDDFC5}" xr6:coauthVersionLast="47" xr6:coauthVersionMax="47" xr10:uidLastSave="{00000000-0000-0000-0000-000000000000}"/>
  <bookViews>
    <workbookView xWindow="-120" yWindow="-120" windowWidth="29040" windowHeight="15720" tabRatio="964" firstSheet="2" activeTab="40" xr2:uid="{00000000-000D-0000-FFFF-FFFF00000000}"/>
  </bookViews>
  <sheets>
    <sheet name="Naslovnica" sheetId="65120" r:id="rId1"/>
    <sheet name="Sadrzaj" sheetId="65121" r:id="rId2"/>
    <sheet name="Uvod" sheetId="304" r:id="rId3"/>
    <sheet name="CODE" sheetId="65119" state="veryHidden" r:id="rId4"/>
    <sheet name="Prihodi" sheetId="65139" r:id="rId5"/>
    <sheet name="Rashodi" sheetId="300" r:id="rId6"/>
    <sheet name="1" sheetId="16" r:id="rId7"/>
    <sheet name="2" sheetId="65065" r:id="rId8"/>
    <sheet name="3" sheetId="65067" r:id="rId9"/>
    <sheet name="4" sheetId="65099" r:id="rId10"/>
    <sheet name="5" sheetId="65123" r:id="rId11"/>
    <sheet name="6" sheetId="65140" r:id="rId12"/>
    <sheet name="7N" sheetId="65143" r:id="rId13"/>
    <sheet name="8" sheetId="65068" r:id="rId14"/>
    <sheet name="9" sheetId="65069" r:id="rId15"/>
    <sheet name="10" sheetId="65070" r:id="rId16"/>
    <sheet name="11" sheetId="65071" r:id="rId17"/>
    <sheet name="12" sheetId="65074" r:id="rId18"/>
    <sheet name="13" sheetId="65100" r:id="rId19"/>
    <sheet name="14" sheetId="65115" r:id="rId20"/>
    <sheet name="15" sheetId="65141" r:id="rId21"/>
    <sheet name="16" sheetId="65075" r:id="rId22"/>
    <sheet name="17" sheetId="65076" r:id="rId23"/>
    <sheet name="18" sheetId="65077" r:id="rId24"/>
    <sheet name="19" sheetId="65078" r:id="rId25"/>
    <sheet name="20" sheetId="65079" r:id="rId26"/>
    <sheet name="21" sheetId="65080" r:id="rId27"/>
    <sheet name="22" sheetId="65082" r:id="rId28"/>
    <sheet name="23" sheetId="65081" r:id="rId29"/>
    <sheet name="24" sheetId="65122" r:id="rId30"/>
    <sheet name="25" sheetId="65083" r:id="rId31"/>
    <sheet name="26" sheetId="65084" r:id="rId32"/>
    <sheet name="27" sheetId="65085" r:id="rId33"/>
    <sheet name="28" sheetId="65086" r:id="rId34"/>
    <sheet name="29" sheetId="65087" r:id="rId35"/>
    <sheet name="30" sheetId="65088" r:id="rId36"/>
    <sheet name="31" sheetId="65089" r:id="rId37"/>
    <sheet name="32" sheetId="65093" r:id="rId38"/>
    <sheet name="33" sheetId="65094" r:id="rId39"/>
    <sheet name="34" sheetId="65095" r:id="rId40"/>
    <sheet name="35" sheetId="65096" r:id="rId41"/>
    <sheet name="36" sheetId="65097" r:id="rId42"/>
    <sheet name="37" sheetId="65098" r:id="rId43"/>
    <sheet name="38" sheetId="65105" r:id="rId44"/>
    <sheet name="Sumarno" sheetId="65124" r:id="rId45"/>
    <sheet name="Zaposleni" sheetId="65142" r:id="rId46"/>
    <sheet name="Funkcijska" sheetId="65137" r:id="rId47"/>
    <sheet name="Kap.pror." sheetId="65125" r:id="rId48"/>
    <sheet name="Kraj" sheetId="65061" r:id="rId49"/>
  </sheets>
  <definedNames>
    <definedName name="ACCOUNTEDPERIODTYPE1" localSheetId="20">#REF!</definedName>
    <definedName name="ACCOUNTEDPERIODTYPE1" localSheetId="11">#REF!</definedName>
    <definedName name="ACCOUNTEDPERIODTYPE1" localSheetId="45">#REF!</definedName>
    <definedName name="ACCOUNTEDPERIODTYPE1">#REF!</definedName>
    <definedName name="APPSUSERNAME1" localSheetId="20">#REF!</definedName>
    <definedName name="APPSUSERNAME1" localSheetId="11">#REF!</definedName>
    <definedName name="APPSUSERNAME1">#REF!</definedName>
    <definedName name="BUDGETORGID1" localSheetId="20">#REF!</definedName>
    <definedName name="BUDGETORGID1" localSheetId="11">#REF!</definedName>
    <definedName name="BUDGETORGID1">#REF!</definedName>
    <definedName name="BUDGETORGNAME1" localSheetId="20">#REF!</definedName>
    <definedName name="BUDGETORGNAME1" localSheetId="11">#REF!</definedName>
    <definedName name="BUDGETORGNAME1">#REF!</definedName>
    <definedName name="CHARTOFACCOUNTSID1" localSheetId="20">#REF!</definedName>
    <definedName name="CHARTOFACCOUNTSID1" localSheetId="11">#REF!</definedName>
    <definedName name="CHARTOFACCOUNTSID1">#REF!</definedName>
    <definedName name="CONNECTSTRING1" localSheetId="20">#REF!</definedName>
    <definedName name="CONNECTSTRING1" localSheetId="11">#REF!</definedName>
    <definedName name="CONNECTSTRING1">#REF!</definedName>
    <definedName name="CREATESUMMARYJNLS1" localSheetId="20">#REF!</definedName>
    <definedName name="CREATESUMMARYJNLS1" localSheetId="11">#REF!</definedName>
    <definedName name="CREATESUMMARYJNLS1">#REF!</definedName>
    <definedName name="CRITERIACOLUMN1" localSheetId="20">#REF!</definedName>
    <definedName name="CRITERIACOLUMN1" localSheetId="11">#REF!</definedName>
    <definedName name="CRITERIACOLUMN1">#REF!</definedName>
    <definedName name="DBNAME1" localSheetId="20">#REF!</definedName>
    <definedName name="DBNAME1" localSheetId="11">#REF!</definedName>
    <definedName name="DBNAME1">#REF!</definedName>
    <definedName name="DBUSERNAME1" localSheetId="20">#REF!</definedName>
    <definedName name="DBUSERNAME1" localSheetId="11">#REF!</definedName>
    <definedName name="DBUSERNAME1">#REF!</definedName>
    <definedName name="DELETELOGICTYPE1" localSheetId="20">#REF!</definedName>
    <definedName name="DELETELOGICTYPE1" localSheetId="11">#REF!</definedName>
    <definedName name="DELETELOGICTYPE1">#REF!</definedName>
    <definedName name="FFAPPCOLNAME1_1" localSheetId="20">#REF!</definedName>
    <definedName name="FFAPPCOLNAME1_1" localSheetId="11">#REF!</definedName>
    <definedName name="FFAPPCOLNAME1_1">#REF!</definedName>
    <definedName name="FFAPPCOLNAME2_1" localSheetId="20">#REF!</definedName>
    <definedName name="FFAPPCOLNAME2_1" localSheetId="11">#REF!</definedName>
    <definedName name="FFAPPCOLNAME2_1">#REF!</definedName>
    <definedName name="FFAPPCOLNAME3_1" localSheetId="20">#REF!</definedName>
    <definedName name="FFAPPCOLNAME3_1" localSheetId="11">#REF!</definedName>
    <definedName name="FFAPPCOLNAME3_1">#REF!</definedName>
    <definedName name="FFAPPCOLNAME4_1" localSheetId="20">#REF!</definedName>
    <definedName name="FFAPPCOLNAME4_1" localSheetId="11">#REF!</definedName>
    <definedName name="FFAPPCOLNAME4_1">#REF!</definedName>
    <definedName name="FFAPPCOLNAME5_1" localSheetId="20">#REF!</definedName>
    <definedName name="FFAPPCOLNAME5_1" localSheetId="11">#REF!</definedName>
    <definedName name="FFAPPCOLNAME5_1">#REF!</definedName>
    <definedName name="FFAPPCOLNAME6_1" localSheetId="20">#REF!</definedName>
    <definedName name="FFAPPCOLNAME6_1" localSheetId="11">#REF!</definedName>
    <definedName name="FFAPPCOLNAME6_1">#REF!</definedName>
    <definedName name="FFSEGMENT1_1" localSheetId="20">#REF!</definedName>
    <definedName name="FFSEGMENT1_1" localSheetId="11">#REF!</definedName>
    <definedName name="FFSEGMENT1_1">#REF!</definedName>
    <definedName name="FFSEGMENT2_1" localSheetId="20">#REF!</definedName>
    <definedName name="FFSEGMENT2_1" localSheetId="11">#REF!</definedName>
    <definedName name="FFSEGMENT2_1">#REF!</definedName>
    <definedName name="FFSEGMENT3_1" localSheetId="20">#REF!</definedName>
    <definedName name="FFSEGMENT3_1" localSheetId="11">#REF!</definedName>
    <definedName name="FFSEGMENT3_1">#REF!</definedName>
    <definedName name="FFSEGMENT4_1" localSheetId="20">#REF!</definedName>
    <definedName name="FFSEGMENT4_1" localSheetId="11">#REF!</definedName>
    <definedName name="FFSEGMENT4_1">#REF!</definedName>
    <definedName name="FFSEGMENT5_1" localSheetId="20">#REF!</definedName>
    <definedName name="FFSEGMENT5_1" localSheetId="11">#REF!</definedName>
    <definedName name="FFSEGMENT5_1">#REF!</definedName>
    <definedName name="FFSEGMENT6_1" localSheetId="20">#REF!</definedName>
    <definedName name="FFSEGMENT6_1" localSheetId="11">#REF!</definedName>
    <definedName name="FFSEGMENT6_1">#REF!</definedName>
    <definedName name="FFSEGSEPARATOR1" localSheetId="20">#REF!</definedName>
    <definedName name="FFSEGSEPARATOR1" localSheetId="11">#REF!</definedName>
    <definedName name="FFSEGSEPARATOR1">#REF!</definedName>
    <definedName name="FIELDNAMECOLUMN1" localSheetId="20">#REF!</definedName>
    <definedName name="FIELDNAMECOLUMN1" localSheetId="11">#REF!</definedName>
    <definedName name="FIELDNAMECOLUMN1">#REF!</definedName>
    <definedName name="FIELDNAMEROW1" localSheetId="20">#REF!</definedName>
    <definedName name="FIELDNAMEROW1" localSheetId="11">#REF!</definedName>
    <definedName name="FIELDNAMEROW1">#REF!</definedName>
    <definedName name="FIRSTDATAROW1" localSheetId="20">#REF!</definedName>
    <definedName name="FIRSTDATAROW1" localSheetId="11">#REF!</definedName>
    <definedName name="FIRSTDATAROW1">#REF!</definedName>
    <definedName name="FNDNAM1" localSheetId="20">#REF!</definedName>
    <definedName name="FNDNAM1" localSheetId="11">#REF!</definedName>
    <definedName name="FNDNAM1">#REF!</definedName>
    <definedName name="FNDUSERID1" localSheetId="20">#REF!</definedName>
    <definedName name="FNDUSERID1" localSheetId="11">#REF!</definedName>
    <definedName name="FNDUSERID1">#REF!</definedName>
    <definedName name="FUNCTIONALCURRENCY1" localSheetId="20">#REF!</definedName>
    <definedName name="FUNCTIONALCURRENCY1" localSheetId="11">#REF!</definedName>
    <definedName name="FUNCTIONALCURRENCY1">#REF!</definedName>
    <definedName name="GWYUID1" localSheetId="20">#REF!</definedName>
    <definedName name="GWYUID1" localSheetId="11">#REF!</definedName>
    <definedName name="GWYUID1">#REF!</definedName>
    <definedName name="IMPORTDFF1" localSheetId="20">#REF!</definedName>
    <definedName name="IMPORTDFF1" localSheetId="11">#REF!</definedName>
    <definedName name="IMPORTDFF1">#REF!</definedName>
    <definedName name="_xlnm.Print_Titles" localSheetId="46">Funkcijska!$1:$6</definedName>
    <definedName name="_xlnm.Print_Titles" localSheetId="4">Prihodi!$2:$4</definedName>
    <definedName name="_xlnm.Print_Titles" localSheetId="5">Rashodi!$1:$6</definedName>
    <definedName name="LABELTEXTCOLUMN1" localSheetId="20">#REF!</definedName>
    <definedName name="LABELTEXTCOLUMN1" localSheetId="11">#REF!</definedName>
    <definedName name="LABELTEXTCOLUMN1">#REF!</definedName>
    <definedName name="LABELTEXTROW1" localSheetId="20">#REF!</definedName>
    <definedName name="LABELTEXTROW1" localSheetId="11">#REF!</definedName>
    <definedName name="LABELTEXTROW1">#REF!</definedName>
    <definedName name="NOOFFFSEGMENTS1" localSheetId="20">#REF!</definedName>
    <definedName name="NOOFFFSEGMENTS1" localSheetId="11">#REF!</definedName>
    <definedName name="NOOFFFSEGMENTS1">#REF!</definedName>
    <definedName name="NUMBEROFDETAILFIELDS1" localSheetId="20">#REF!</definedName>
    <definedName name="NUMBEROFDETAILFIELDS1" localSheetId="11">#REF!</definedName>
    <definedName name="NUMBEROFDETAILFIELDS1">#REF!</definedName>
    <definedName name="NUMBEROFHEADERFIELDS1" localSheetId="20">#REF!</definedName>
    <definedName name="NUMBEROFHEADERFIELDS1" localSheetId="11">#REF!</definedName>
    <definedName name="NUMBEROFHEADERFIELDS1">#REF!</definedName>
    <definedName name="PERIODSETNAME1" localSheetId="20">#REF!</definedName>
    <definedName name="PERIODSETNAME1" localSheetId="11">#REF!</definedName>
    <definedName name="PERIODSETNAME1">#REF!</definedName>
    <definedName name="_xlnm.Print_Area" localSheetId="21">'16'!$A$1:$N$45</definedName>
    <definedName name="_xlnm.Print_Area" localSheetId="22">'17'!$A$1:$N$52</definedName>
    <definedName name="_xlnm.Print_Area" localSheetId="23">'18'!$A$1:$N$42</definedName>
    <definedName name="_xlnm.Print_Area" localSheetId="25">'20'!$A$1:$O$45</definedName>
    <definedName name="_xlnm.Print_Area" localSheetId="27">'22'!$A$1:$N$34</definedName>
    <definedName name="_xlnm.Print_Area" localSheetId="46">Funkcijska!$A$7:$G$106</definedName>
    <definedName name="_xlnm.Print_Area" localSheetId="47">'Kap.pror.'!$A$1:$F$45</definedName>
    <definedName name="_xlnm.Print_Area" localSheetId="48">Kraj!$A$1:$H$22</definedName>
    <definedName name="_xlnm.Print_Area" localSheetId="4">Prihodi!$B$4:$G$256</definedName>
    <definedName name="_xlnm.Print_Area" localSheetId="5">Rashodi!$C$7:$K$133</definedName>
    <definedName name="_xlnm.Print_Area" localSheetId="1">Sadrzaj!$A$1:$U$32</definedName>
    <definedName name="_xlnm.Print_Area" localSheetId="44">Sumarno!$A$1:$L$46</definedName>
    <definedName name="_xlnm.Print_Area" localSheetId="2">Uvod!$B$1:$G$48</definedName>
    <definedName name="POSTERRORSTOSUSP1" localSheetId="20">#REF!</definedName>
    <definedName name="POSTERRORSTOSUSP1" localSheetId="11">#REF!</definedName>
    <definedName name="POSTERRORSTOSUSP1" localSheetId="45">#REF!</definedName>
    <definedName name="POSTERRORSTOSUSP1">#REF!</definedName>
    <definedName name="RESPONSIBILITYAPPLICATIONID1" localSheetId="20">#REF!</definedName>
    <definedName name="RESPONSIBILITYAPPLICATIONID1" localSheetId="11">#REF!</definedName>
    <definedName name="RESPONSIBILITYAPPLICATIONID1">#REF!</definedName>
    <definedName name="RESPONSIBILITYID1" localSheetId="20">#REF!</definedName>
    <definedName name="RESPONSIBILITYID1" localSheetId="11">#REF!</definedName>
    <definedName name="RESPONSIBILITYID1">#REF!</definedName>
    <definedName name="RESPONSIBILITYNAME1" localSheetId="20">#REF!</definedName>
    <definedName name="RESPONSIBILITYNAME1" localSheetId="11">#REF!</definedName>
    <definedName name="RESPONSIBILITYNAME1">#REF!</definedName>
    <definedName name="ROWSTOUPLOAD1" localSheetId="20">#REF!</definedName>
    <definedName name="ROWSTOUPLOAD1" localSheetId="11">#REF!</definedName>
    <definedName name="ROWSTOUPLOAD1">#REF!</definedName>
    <definedName name="SETOFBOOKSID1" localSheetId="20">#REF!</definedName>
    <definedName name="SETOFBOOKSID1" localSheetId="11">#REF!</definedName>
    <definedName name="SETOFBOOKSID1">#REF!</definedName>
    <definedName name="SETOFBOOKSNAME1" localSheetId="20">#REF!</definedName>
    <definedName name="SETOFBOOKSNAME1" localSheetId="11">#REF!</definedName>
    <definedName name="SETOFBOOKSNAME1">#REF!</definedName>
    <definedName name="STARTJOURNALIMPORT1" localSheetId="20">#REF!</definedName>
    <definedName name="STARTJOURNALIMPORT1" localSheetId="11">#REF!</definedName>
    <definedName name="STARTJOURNALIMPORT1">#REF!</definedName>
    <definedName name="TEMPLATENUMBER1" localSheetId="20">#REF!</definedName>
    <definedName name="TEMPLATENUMBER1" localSheetId="11">#REF!</definedName>
    <definedName name="TEMPLATENUMBER1">#REF!</definedName>
    <definedName name="TEMPLATESTYLE1" localSheetId="20">#REF!</definedName>
    <definedName name="TEMPLATESTYLE1" localSheetId="11">#REF!</definedName>
    <definedName name="TEMPLATESTYLE1">#REF!</definedName>
    <definedName name="TEMPLATETYPE1" localSheetId="20">#REF!</definedName>
    <definedName name="TEMPLATETYPE1" localSheetId="11">#REF!</definedName>
    <definedName name="TEMPLATETYPE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300" l="1"/>
  <c r="F177" i="65139"/>
  <c r="J70" i="300"/>
  <c r="I70" i="300"/>
  <c r="H70" i="300"/>
  <c r="G70" i="300"/>
  <c r="F70" i="300"/>
  <c r="L26" i="65093"/>
  <c r="K26" i="65093"/>
  <c r="M26" i="65093"/>
  <c r="J72" i="300"/>
  <c r="J83" i="300"/>
  <c r="K13" i="65143"/>
  <c r="K10" i="65143"/>
  <c r="K9" i="65143"/>
  <c r="K10" i="65095"/>
  <c r="K13" i="65095"/>
  <c r="K9" i="65095"/>
  <c r="F205" i="65139"/>
  <c r="F153" i="65139"/>
  <c r="K47" i="65065" l="1"/>
  <c r="K13" i="65079"/>
  <c r="K10" i="65079"/>
  <c r="K9" i="65079"/>
  <c r="K13" i="65105"/>
  <c r="K9" i="65105"/>
  <c r="K13" i="65098"/>
  <c r="K9" i="65098"/>
  <c r="K13" i="65097"/>
  <c r="K9" i="65097"/>
  <c r="K13" i="65096"/>
  <c r="K9" i="65096"/>
  <c r="K13" i="65094"/>
  <c r="K9" i="65094"/>
  <c r="K13" i="65093"/>
  <c r="K9" i="65093"/>
  <c r="K13" i="65089"/>
  <c r="K9" i="65089"/>
  <c r="K13" i="65088"/>
  <c r="K9" i="65088"/>
  <c r="K13" i="65087"/>
  <c r="K9" i="65087"/>
  <c r="K13" i="65086"/>
  <c r="K9" i="65086"/>
  <c r="K13" i="65085"/>
  <c r="K9" i="65085"/>
  <c r="K13" i="65084"/>
  <c r="K9" i="65084"/>
  <c r="K13" i="65083"/>
  <c r="K9" i="65083"/>
  <c r="K13" i="65122"/>
  <c r="K9" i="65122"/>
  <c r="K13" i="65081"/>
  <c r="K9" i="65081"/>
  <c r="K13" i="65082"/>
  <c r="K9" i="65082"/>
  <c r="K13" i="65080"/>
  <c r="K9" i="65080"/>
  <c r="K13" i="65078"/>
  <c r="K9" i="65078"/>
  <c r="K13" i="65077"/>
  <c r="K9" i="65077"/>
  <c r="K16" i="65076"/>
  <c r="K12" i="65076"/>
  <c r="K13" i="65075"/>
  <c r="K9" i="65075"/>
  <c r="K13" i="65141"/>
  <c r="K9" i="65141"/>
  <c r="K13" i="65115"/>
  <c r="K9" i="65115"/>
  <c r="K13" i="65100"/>
  <c r="K9" i="65100"/>
  <c r="K13" i="65074"/>
  <c r="K9" i="65074"/>
  <c r="K13" i="65071"/>
  <c r="K9" i="65071"/>
  <c r="K13" i="65070"/>
  <c r="K9" i="65070"/>
  <c r="K13" i="65069"/>
  <c r="K9" i="65069"/>
  <c r="K13" i="65068"/>
  <c r="K9" i="65068"/>
  <c r="K13" i="65140"/>
  <c r="K9" i="65140"/>
  <c r="K13" i="65123"/>
  <c r="K9" i="65123"/>
  <c r="K13" i="65099"/>
  <c r="K9" i="65099"/>
  <c r="K13" i="65067"/>
  <c r="K9" i="65067"/>
  <c r="K19" i="65065"/>
  <c r="K14" i="65065"/>
  <c r="K13" i="16"/>
  <c r="K9" i="16"/>
  <c r="K24" i="65089"/>
  <c r="K24" i="65088"/>
  <c r="K24" i="65087"/>
  <c r="K24" i="65086"/>
  <c r="K24" i="65085"/>
  <c r="K24" i="65084"/>
  <c r="K24" i="65083"/>
  <c r="K24" i="65122"/>
  <c r="K24" i="65081"/>
  <c r="K24" i="65082"/>
  <c r="K40" i="65065"/>
  <c r="K35" i="65065"/>
  <c r="K20" i="65080"/>
  <c r="K10" i="65069" l="1"/>
  <c r="G233" i="65139"/>
  <c r="L33" i="65078"/>
  <c r="K45" i="65080"/>
  <c r="K10" i="65115"/>
  <c r="K10" i="65098"/>
  <c r="K10" i="65096"/>
  <c r="K10" i="65068"/>
  <c r="K10" i="65123"/>
  <c r="K10" i="65099"/>
  <c r="I83" i="300"/>
  <c r="I72" i="300" s="1"/>
  <c r="H83" i="300"/>
  <c r="G83" i="300"/>
  <c r="G72" i="300" s="1"/>
  <c r="F83" i="300"/>
  <c r="F72" i="300" s="1"/>
  <c r="K83" i="300"/>
  <c r="K10" i="65075" l="1"/>
  <c r="K10" i="65093"/>
  <c r="N28" i="65093"/>
  <c r="J26" i="65093"/>
  <c r="I26" i="65093"/>
  <c r="M28" i="65093"/>
  <c r="K10" i="65077"/>
  <c r="K29" i="65077"/>
  <c r="K24" i="65069"/>
  <c r="F234" i="65139" l="1"/>
  <c r="F206" i="65139"/>
  <c r="L33" i="65079" l="1"/>
  <c r="G198" i="65139"/>
  <c r="G197" i="65139"/>
  <c r="G196" i="65139"/>
  <c r="E227" i="65139"/>
  <c r="F227" i="65139"/>
  <c r="F215" i="65139" l="1"/>
  <c r="F194" i="65139"/>
  <c r="F166" i="65139"/>
  <c r="G167" i="65139"/>
  <c r="E166" i="65139"/>
  <c r="D166" i="65139"/>
  <c r="K10" i="65071"/>
  <c r="K10" i="65094"/>
  <c r="K10" i="65078"/>
  <c r="F40" i="65139" l="1"/>
  <c r="F14" i="65139"/>
  <c r="K13" i="65076"/>
  <c r="K10" i="65067" l="1"/>
  <c r="K10" i="65089"/>
  <c r="K10" i="65088"/>
  <c r="K10" i="65087"/>
  <c r="K10" i="65086"/>
  <c r="K10" i="65085"/>
  <c r="K10" i="65084"/>
  <c r="K10" i="65083"/>
  <c r="K10" i="65122"/>
  <c r="K10" i="65081"/>
  <c r="K10" i="65080"/>
  <c r="K10" i="65105"/>
  <c r="K10" i="65097"/>
  <c r="K10" i="65082"/>
  <c r="K10" i="65141"/>
  <c r="K10" i="65100"/>
  <c r="K10" i="65074"/>
  <c r="K10" i="65070"/>
  <c r="K10" i="65140"/>
  <c r="K15" i="65065"/>
  <c r="K10" i="16"/>
  <c r="E76" i="65137"/>
  <c r="E70" i="65137"/>
  <c r="E69" i="65137"/>
  <c r="F11" i="65124"/>
  <c r="I108" i="300"/>
  <c r="I107" i="300"/>
  <c r="I50" i="300"/>
  <c r="I49" i="300"/>
  <c r="I48" i="300"/>
  <c r="I47" i="300"/>
  <c r="I46" i="300"/>
  <c r="I45" i="300"/>
  <c r="I44" i="300"/>
  <c r="I43" i="300"/>
  <c r="I42" i="300"/>
  <c r="I40" i="300"/>
  <c r="I39" i="300"/>
  <c r="I38" i="300" s="1"/>
  <c r="I37" i="300"/>
  <c r="I36" i="300"/>
  <c r="I34" i="300"/>
  <c r="I33" i="300"/>
  <c r="I32" i="300"/>
  <c r="I31" i="300"/>
  <c r="I29" i="300"/>
  <c r="I28" i="300"/>
  <c r="I27" i="300"/>
  <c r="J50" i="300"/>
  <c r="J49" i="300"/>
  <c r="J48" i="300"/>
  <c r="J46" i="300"/>
  <c r="J45" i="300"/>
  <c r="J44" i="300"/>
  <c r="J40" i="300"/>
  <c r="E65" i="65137"/>
  <c r="I98" i="300"/>
  <c r="H98" i="300"/>
  <c r="G98" i="300"/>
  <c r="F98" i="300"/>
  <c r="L49" i="65080"/>
  <c r="J49" i="65080"/>
  <c r="I49" i="65080"/>
  <c r="L41" i="65080"/>
  <c r="K41" i="65080"/>
  <c r="J41" i="65080"/>
  <c r="I41" i="65080"/>
  <c r="N40" i="65080"/>
  <c r="N42" i="65080"/>
  <c r="M42" i="65080"/>
  <c r="M41" i="65080" s="1"/>
  <c r="H25" i="65124" s="1"/>
  <c r="D174" i="65139"/>
  <c r="E253" i="65139"/>
  <c r="E252" i="65139" s="1"/>
  <c r="E251" i="65139" s="1"/>
  <c r="E245" i="65139"/>
  <c r="E242" i="65139"/>
  <c r="E226" i="65139"/>
  <c r="E215" i="65139"/>
  <c r="E214" i="65139" s="1"/>
  <c r="E213" i="65139" s="1"/>
  <c r="E208" i="65139"/>
  <c r="E207" i="65139" s="1"/>
  <c r="E204" i="65139"/>
  <c r="E199" i="65139"/>
  <c r="E192" i="65139" s="1"/>
  <c r="E190" i="65139" s="1"/>
  <c r="E189" i="65139" s="1"/>
  <c r="E188" i="65139" s="1"/>
  <c r="E185" i="65139"/>
  <c r="E184" i="65139" s="1"/>
  <c r="E174" i="65139"/>
  <c r="E173" i="65139" s="1"/>
  <c r="E153" i="65139"/>
  <c r="E145" i="65139"/>
  <c r="E144" i="65139" s="1"/>
  <c r="E141" i="65139"/>
  <c r="E139" i="65139"/>
  <c r="E137" i="65139"/>
  <c r="E135" i="65139"/>
  <c r="E133" i="65139"/>
  <c r="E130" i="65139"/>
  <c r="E125" i="65139"/>
  <c r="E120" i="65139"/>
  <c r="E112" i="65139"/>
  <c r="E106" i="65139"/>
  <c r="E99" i="65139"/>
  <c r="E98" i="65139" s="1"/>
  <c r="E95" i="65139"/>
  <c r="E90" i="65139"/>
  <c r="E88" i="65139" s="1"/>
  <c r="E85" i="65139"/>
  <c r="E83" i="65139"/>
  <c r="E80" i="65139"/>
  <c r="E78" i="65139"/>
  <c r="E76" i="65139"/>
  <c r="E73" i="65139"/>
  <c r="E68" i="65139"/>
  <c r="E64" i="65139"/>
  <c r="E57" i="65139"/>
  <c r="E56" i="65139" s="1"/>
  <c r="E53" i="65139"/>
  <c r="E49" i="65139"/>
  <c r="E39" i="65139"/>
  <c r="E38" i="65139" s="1"/>
  <c r="E36" i="65139"/>
  <c r="E34" i="65139"/>
  <c r="E29" i="65139"/>
  <c r="E21" i="65139"/>
  <c r="E20" i="65139" s="1"/>
  <c r="E17" i="65139"/>
  <c r="E16" i="65139" s="1"/>
  <c r="E13" i="65139"/>
  <c r="E7" i="65139"/>
  <c r="D227" i="65139"/>
  <c r="D215" i="65139"/>
  <c r="G201" i="65139"/>
  <c r="G200" i="65139"/>
  <c r="F199" i="65139"/>
  <c r="D199" i="65139"/>
  <c r="D153" i="65139"/>
  <c r="G165" i="65139"/>
  <c r="G163" i="65139"/>
  <c r="G162" i="65139"/>
  <c r="G161" i="65139"/>
  <c r="G160" i="65139"/>
  <c r="G103" i="65139"/>
  <c r="D34" i="65139"/>
  <c r="D36" i="65139"/>
  <c r="J26" i="65105"/>
  <c r="J15" i="65105"/>
  <c r="J13" i="65105"/>
  <c r="J12" i="65105"/>
  <c r="J10" i="65105"/>
  <c r="J9" i="65105"/>
  <c r="J8" i="65105" s="1"/>
  <c r="I26" i="65105"/>
  <c r="I15" i="65105"/>
  <c r="I13" i="65105"/>
  <c r="I12" i="65105"/>
  <c r="I10" i="65105"/>
  <c r="I9" i="65105"/>
  <c r="I8" i="65105"/>
  <c r="J26" i="65098"/>
  <c r="J15" i="65098"/>
  <c r="J13" i="65098"/>
  <c r="J12" i="65098"/>
  <c r="J10" i="65098"/>
  <c r="J9" i="65098"/>
  <c r="J8" i="65098"/>
  <c r="I26" i="65098"/>
  <c r="I15" i="65098"/>
  <c r="I13" i="65098"/>
  <c r="I12" i="65098"/>
  <c r="I10" i="65098"/>
  <c r="I9" i="65098"/>
  <c r="I8" i="65098" s="1"/>
  <c r="J26" i="65097"/>
  <c r="J15" i="65097"/>
  <c r="J13" i="65097"/>
  <c r="J12" i="65097"/>
  <c r="J10" i="65097"/>
  <c r="J9" i="65097"/>
  <c r="J8" i="65097"/>
  <c r="I26" i="65097"/>
  <c r="I15" i="65097"/>
  <c r="I13" i="65097"/>
  <c r="I12" i="65097"/>
  <c r="I10" i="65097"/>
  <c r="I9" i="65097"/>
  <c r="I8" i="65097"/>
  <c r="J28" i="65096"/>
  <c r="J26" i="65096" s="1"/>
  <c r="J22" i="65096"/>
  <c r="J15" i="65096"/>
  <c r="J13" i="65096"/>
  <c r="J12" i="65096" s="1"/>
  <c r="J10" i="65096"/>
  <c r="J9" i="65096"/>
  <c r="J8" i="65096" s="1"/>
  <c r="I28" i="65096"/>
  <c r="I26" i="65096"/>
  <c r="I22" i="65096"/>
  <c r="I15" i="65096" s="1"/>
  <c r="I13" i="65096"/>
  <c r="I12" i="65096"/>
  <c r="I10" i="65096"/>
  <c r="I9" i="65096"/>
  <c r="I8" i="65096" s="1"/>
  <c r="J30" i="65095"/>
  <c r="J26" i="65095"/>
  <c r="J15" i="65095"/>
  <c r="J13" i="65095"/>
  <c r="J12" i="65095" s="1"/>
  <c r="J10" i="65095"/>
  <c r="J9" i="65095"/>
  <c r="J8" i="65095"/>
  <c r="I30" i="65095"/>
  <c r="I26" i="65095"/>
  <c r="I15" i="65095"/>
  <c r="I13" i="65095"/>
  <c r="I12" i="65095"/>
  <c r="I10" i="65095"/>
  <c r="I9" i="65095"/>
  <c r="I8" i="65095" s="1"/>
  <c r="J26" i="65094"/>
  <c r="J15" i="65094"/>
  <c r="J13" i="65094"/>
  <c r="J12" i="65094"/>
  <c r="J10" i="65094"/>
  <c r="J9" i="65094"/>
  <c r="J8" i="65094" s="1"/>
  <c r="I26" i="65094"/>
  <c r="I15" i="65094"/>
  <c r="I13" i="65094"/>
  <c r="I12" i="65094"/>
  <c r="I10" i="65094"/>
  <c r="I9" i="65094"/>
  <c r="I8" i="65094"/>
  <c r="J30" i="65093"/>
  <c r="J15" i="65093"/>
  <c r="J13" i="65093"/>
  <c r="J12" i="65093" s="1"/>
  <c r="J10" i="65093"/>
  <c r="J9" i="65093"/>
  <c r="J8" i="65093" s="1"/>
  <c r="I30" i="65093"/>
  <c r="I15" i="65093"/>
  <c r="I13" i="65093"/>
  <c r="I12" i="65093" s="1"/>
  <c r="I10" i="65093"/>
  <c r="I9" i="65093"/>
  <c r="I8" i="65093"/>
  <c r="J26" i="65089"/>
  <c r="J15" i="65089"/>
  <c r="J13" i="65089"/>
  <c r="J12" i="65089"/>
  <c r="J10" i="65089"/>
  <c r="J9" i="65089"/>
  <c r="J8" i="65089" s="1"/>
  <c r="I26" i="65089"/>
  <c r="I15" i="65089"/>
  <c r="I13" i="65089"/>
  <c r="I12" i="65089" s="1"/>
  <c r="I10" i="65089"/>
  <c r="I9" i="65089"/>
  <c r="I8" i="65089"/>
  <c r="J26" i="65088"/>
  <c r="J15" i="65088"/>
  <c r="J13" i="65088"/>
  <c r="J12" i="65088"/>
  <c r="J10" i="65088"/>
  <c r="J9" i="65088"/>
  <c r="J8" i="65088" s="1"/>
  <c r="I26" i="65088"/>
  <c r="I15" i="65088"/>
  <c r="I13" i="65088"/>
  <c r="I12" i="65088"/>
  <c r="I10" i="65088"/>
  <c r="I9" i="65088"/>
  <c r="I8" i="65088"/>
  <c r="J26" i="65087"/>
  <c r="J15" i="65087"/>
  <c r="J13" i="65087"/>
  <c r="J12" i="65087"/>
  <c r="J10" i="65087"/>
  <c r="J8" i="65087" s="1"/>
  <c r="J9" i="65087"/>
  <c r="I26" i="65087"/>
  <c r="I15" i="65087"/>
  <c r="I13" i="65087"/>
  <c r="I12" i="65087" s="1"/>
  <c r="I10" i="65087"/>
  <c r="I9" i="65087"/>
  <c r="I8" i="65087"/>
  <c r="J27" i="65086"/>
  <c r="J26" i="65086" s="1"/>
  <c r="J15" i="65086"/>
  <c r="J13" i="65086"/>
  <c r="J12" i="65086"/>
  <c r="J10" i="65086"/>
  <c r="J9" i="65086"/>
  <c r="J8" i="65086"/>
  <c r="I27" i="65086"/>
  <c r="I26" i="65086"/>
  <c r="I15" i="65086"/>
  <c r="I13" i="65086"/>
  <c r="I12" i="65086" s="1"/>
  <c r="I10" i="65086"/>
  <c r="I9" i="65086"/>
  <c r="I8" i="65086"/>
  <c r="J26" i="65085"/>
  <c r="J15" i="65085"/>
  <c r="J13" i="65085"/>
  <c r="J12" i="65085"/>
  <c r="J10" i="65085"/>
  <c r="J8" i="65085" s="1"/>
  <c r="J9" i="65085"/>
  <c r="I26" i="65085"/>
  <c r="I15" i="65085"/>
  <c r="I13" i="65085"/>
  <c r="I12" i="65085"/>
  <c r="I10" i="65085"/>
  <c r="I9" i="65085"/>
  <c r="I8" i="65085" s="1"/>
  <c r="J26" i="65084"/>
  <c r="J15" i="65084"/>
  <c r="J13" i="65084"/>
  <c r="J12" i="65084"/>
  <c r="J10" i="65084"/>
  <c r="J9" i="65084"/>
  <c r="J8" i="65084"/>
  <c r="I26" i="65084"/>
  <c r="I15" i="65084"/>
  <c r="I13" i="65084"/>
  <c r="I12" i="65084"/>
  <c r="I10" i="65084"/>
  <c r="I9" i="65084"/>
  <c r="I8" i="65084"/>
  <c r="J26" i="65083"/>
  <c r="J15" i="65083"/>
  <c r="J13" i="65083"/>
  <c r="J12" i="65083"/>
  <c r="J10" i="65083"/>
  <c r="J9" i="65083"/>
  <c r="J8" i="65083" s="1"/>
  <c r="I26" i="65083"/>
  <c r="I15" i="65083"/>
  <c r="I13" i="65083"/>
  <c r="I12" i="65083"/>
  <c r="I10" i="65083"/>
  <c r="I8" i="65083" s="1"/>
  <c r="I31" i="65083" s="1"/>
  <c r="I9" i="65083"/>
  <c r="J26" i="65122"/>
  <c r="J15" i="65122"/>
  <c r="J13" i="65122"/>
  <c r="J12" i="65122"/>
  <c r="J10" i="65122"/>
  <c r="J9" i="65122"/>
  <c r="J8" i="65122"/>
  <c r="I26" i="65122"/>
  <c r="I15" i="65122"/>
  <c r="I13" i="65122"/>
  <c r="I12" i="65122"/>
  <c r="I10" i="65122"/>
  <c r="I9" i="65122"/>
  <c r="I8" i="65122"/>
  <c r="J26" i="65081"/>
  <c r="J15" i="65081"/>
  <c r="J13" i="65081"/>
  <c r="J12" i="65081"/>
  <c r="J10" i="65081"/>
  <c r="J9" i="65081"/>
  <c r="J8" i="65081"/>
  <c r="I26" i="65081"/>
  <c r="I15" i="65081"/>
  <c r="I13" i="65081"/>
  <c r="I12" i="65081" s="1"/>
  <c r="I10" i="65081"/>
  <c r="I9" i="65081"/>
  <c r="I8" i="65081"/>
  <c r="J26" i="65082"/>
  <c r="J15" i="65082"/>
  <c r="J13" i="65082"/>
  <c r="J12" i="65082"/>
  <c r="J10" i="65082"/>
  <c r="J9" i="65082"/>
  <c r="J8" i="65082" s="1"/>
  <c r="I26" i="65082"/>
  <c r="I15" i="65082"/>
  <c r="I13" i="65082"/>
  <c r="I12" i="65082"/>
  <c r="I10" i="65082"/>
  <c r="I8" i="65082" s="1"/>
  <c r="I9" i="65082"/>
  <c r="J44" i="65080"/>
  <c r="J30" i="65080"/>
  <c r="J15" i="65080"/>
  <c r="J13" i="65080"/>
  <c r="J12" i="65080"/>
  <c r="J10" i="65080"/>
  <c r="J9" i="65080"/>
  <c r="J8" i="65080" s="1"/>
  <c r="I44" i="65080"/>
  <c r="I30" i="65080"/>
  <c r="I15" i="65080"/>
  <c r="I13" i="65080"/>
  <c r="I12" i="65080" s="1"/>
  <c r="I10" i="65080"/>
  <c r="I9" i="65080"/>
  <c r="J36" i="65079"/>
  <c r="J32" i="65079"/>
  <c r="J26" i="65079"/>
  <c r="J15" i="65079"/>
  <c r="J13" i="65079"/>
  <c r="J12" i="65079" s="1"/>
  <c r="J10" i="65079"/>
  <c r="J9" i="65079"/>
  <c r="J8" i="65079" s="1"/>
  <c r="I36" i="65079"/>
  <c r="I32" i="65079"/>
  <c r="I26" i="65079"/>
  <c r="I15" i="65079"/>
  <c r="I13" i="65079"/>
  <c r="I12" i="65079" s="1"/>
  <c r="I10" i="65079"/>
  <c r="I9" i="65079"/>
  <c r="I8" i="65079"/>
  <c r="J30" i="65078"/>
  <c r="J27" i="65078"/>
  <c r="J15" i="65078"/>
  <c r="J13" i="65078"/>
  <c r="J12" i="65078" s="1"/>
  <c r="J10" i="65078"/>
  <c r="J9" i="65078"/>
  <c r="J8" i="65078"/>
  <c r="I30" i="65078"/>
  <c r="I27" i="65078"/>
  <c r="I15" i="65078"/>
  <c r="I13" i="65078"/>
  <c r="I12" i="65078" s="1"/>
  <c r="I10" i="65078"/>
  <c r="I9" i="65078"/>
  <c r="I8" i="65078"/>
  <c r="J32" i="65077"/>
  <c r="J26" i="65077"/>
  <c r="J15" i="65077"/>
  <c r="J13" i="65077"/>
  <c r="J12" i="65077" s="1"/>
  <c r="J10" i="65077"/>
  <c r="J9" i="65077"/>
  <c r="J8" i="65077"/>
  <c r="I32" i="65077"/>
  <c r="I26" i="65077"/>
  <c r="I15" i="65077"/>
  <c r="I13" i="65077"/>
  <c r="I12" i="65077"/>
  <c r="I10" i="65077"/>
  <c r="I9" i="65077"/>
  <c r="I8" i="65077"/>
  <c r="J43" i="65076"/>
  <c r="J39" i="65076"/>
  <c r="J35" i="65076"/>
  <c r="J30" i="65076"/>
  <c r="J18" i="65076"/>
  <c r="J16" i="65076"/>
  <c r="J15" i="65076" s="1"/>
  <c r="J13" i="65076"/>
  <c r="J11" i="65076" s="1"/>
  <c r="J12" i="65076"/>
  <c r="J8" i="65076"/>
  <c r="I43" i="65076"/>
  <c r="I39" i="65076"/>
  <c r="I35" i="65076"/>
  <c r="I30" i="65076"/>
  <c r="I18" i="65076"/>
  <c r="I16" i="65076"/>
  <c r="I15" i="65076"/>
  <c r="I13" i="65076"/>
  <c r="I12" i="65076"/>
  <c r="I11" i="65076" s="1"/>
  <c r="I8" i="65076"/>
  <c r="J35" i="65075"/>
  <c r="J33" i="65075"/>
  <c r="J31" i="65075"/>
  <c r="J27" i="65075"/>
  <c r="J15" i="65075"/>
  <c r="J13" i="65075"/>
  <c r="J12" i="65075"/>
  <c r="J10" i="65075"/>
  <c r="J9" i="65075"/>
  <c r="J8" i="65075" s="1"/>
  <c r="I35" i="65075"/>
  <c r="I33" i="65075"/>
  <c r="I31" i="65075"/>
  <c r="I27" i="65075"/>
  <c r="I15" i="65075"/>
  <c r="I13" i="65075"/>
  <c r="I12" i="65075"/>
  <c r="I10" i="65075"/>
  <c r="I9" i="65075"/>
  <c r="I8" i="65075"/>
  <c r="J26" i="65141"/>
  <c r="J15" i="65141"/>
  <c r="J13" i="65141"/>
  <c r="J12" i="65141"/>
  <c r="J10" i="65141"/>
  <c r="J9" i="65141"/>
  <c r="J8" i="65141"/>
  <c r="I26" i="65141"/>
  <c r="I15" i="65141"/>
  <c r="I13" i="65141"/>
  <c r="I12" i="65141"/>
  <c r="I10" i="65141"/>
  <c r="I8" i="65141" s="1"/>
  <c r="I9" i="65141"/>
  <c r="J26" i="65115"/>
  <c r="J15" i="65115"/>
  <c r="J13" i="65115"/>
  <c r="J12" i="65115"/>
  <c r="J10" i="65115"/>
  <c r="J9" i="65115"/>
  <c r="J8" i="65115"/>
  <c r="I26" i="65115"/>
  <c r="I15" i="65115"/>
  <c r="I13" i="65115"/>
  <c r="I12" i="65115"/>
  <c r="I10" i="65115"/>
  <c r="I8" i="65115" s="1"/>
  <c r="I9" i="65115"/>
  <c r="J26" i="65100"/>
  <c r="J15" i="65100"/>
  <c r="J13" i="65100"/>
  <c r="J12" i="65100"/>
  <c r="J10" i="65100"/>
  <c r="J9" i="65100"/>
  <c r="J8" i="65100" s="1"/>
  <c r="I26" i="65100"/>
  <c r="I15" i="65100"/>
  <c r="I13" i="65100"/>
  <c r="I12" i="65100"/>
  <c r="I10" i="65100"/>
  <c r="I9" i="65100"/>
  <c r="I8" i="65100"/>
  <c r="J26" i="65074"/>
  <c r="J15" i="65074"/>
  <c r="J13" i="65074"/>
  <c r="J12" i="65074"/>
  <c r="J10" i="65074"/>
  <c r="J9" i="65074"/>
  <c r="J8" i="65074"/>
  <c r="I26" i="65074"/>
  <c r="I15" i="65074"/>
  <c r="I13" i="65074"/>
  <c r="I12" i="65074"/>
  <c r="I10" i="65074"/>
  <c r="I9" i="65074"/>
  <c r="I8" i="65074" s="1"/>
  <c r="J27" i="65071"/>
  <c r="J15" i="65071"/>
  <c r="J13" i="65071"/>
  <c r="J12" i="65071"/>
  <c r="J10" i="65071"/>
  <c r="J9" i="65071"/>
  <c r="J8" i="65071" s="1"/>
  <c r="I27" i="65071"/>
  <c r="I15" i="65071"/>
  <c r="I13" i="65071"/>
  <c r="I12" i="65071"/>
  <c r="I10" i="65071"/>
  <c r="I9" i="65071"/>
  <c r="I8" i="65071" s="1"/>
  <c r="J28" i="65070"/>
  <c r="J15" i="65070"/>
  <c r="J13" i="65070"/>
  <c r="J12" i="65070"/>
  <c r="J10" i="65070"/>
  <c r="J9" i="65070"/>
  <c r="J8" i="65070"/>
  <c r="I28" i="65070"/>
  <c r="I15" i="65070"/>
  <c r="I13" i="65070"/>
  <c r="I12" i="65070"/>
  <c r="I10" i="65070"/>
  <c r="I8" i="65070" s="1"/>
  <c r="I9" i="65070"/>
  <c r="J28" i="65069"/>
  <c r="J17" i="65069"/>
  <c r="J15" i="65069"/>
  <c r="J13" i="65069"/>
  <c r="J12" i="65069" s="1"/>
  <c r="J10" i="65069"/>
  <c r="J9" i="65069"/>
  <c r="J8" i="65069"/>
  <c r="I28" i="65069"/>
  <c r="I17" i="65069"/>
  <c r="I15" i="65069"/>
  <c r="I13" i="65069"/>
  <c r="I12" i="65069"/>
  <c r="I10" i="65069"/>
  <c r="I8" i="65069" s="1"/>
  <c r="I9" i="65069"/>
  <c r="J26" i="65068"/>
  <c r="J15" i="65068"/>
  <c r="J13" i="65068"/>
  <c r="J12" i="65068"/>
  <c r="J10" i="65068"/>
  <c r="J9" i="65068"/>
  <c r="J8" i="65068"/>
  <c r="I26" i="65068"/>
  <c r="I15" i="65068"/>
  <c r="I13" i="65068"/>
  <c r="I12" i="65068"/>
  <c r="I10" i="65068"/>
  <c r="I9" i="65068"/>
  <c r="I8" i="65068" s="1"/>
  <c r="J29" i="65140"/>
  <c r="J26" i="65140"/>
  <c r="J15" i="65140"/>
  <c r="J13" i="65140"/>
  <c r="J12" i="65140"/>
  <c r="J10" i="65140"/>
  <c r="J9" i="65140"/>
  <c r="J8" i="65140"/>
  <c r="I29" i="65140"/>
  <c r="I26" i="65140"/>
  <c r="I15" i="65140"/>
  <c r="I13" i="65140"/>
  <c r="I12" i="65140"/>
  <c r="I10" i="65140"/>
  <c r="I8" i="65140" s="1"/>
  <c r="I9" i="65140"/>
  <c r="J26" i="65123"/>
  <c r="J15" i="65123"/>
  <c r="J13" i="65123"/>
  <c r="J12" i="65123"/>
  <c r="J10" i="65123"/>
  <c r="J9" i="65123"/>
  <c r="J8" i="65123" s="1"/>
  <c r="I26" i="65123"/>
  <c r="I15" i="65123"/>
  <c r="I13" i="65123"/>
  <c r="I12" i="65123"/>
  <c r="I10" i="65123"/>
  <c r="I8" i="65123" s="1"/>
  <c r="I9" i="65123"/>
  <c r="I26" i="65099"/>
  <c r="I15" i="65099"/>
  <c r="I13" i="65099"/>
  <c r="I12" i="65099"/>
  <c r="I10" i="65099"/>
  <c r="I9" i="65099"/>
  <c r="I8" i="65099" s="1"/>
  <c r="J26" i="65099"/>
  <c r="J15" i="65099"/>
  <c r="J13" i="65099"/>
  <c r="J12" i="65099"/>
  <c r="J10" i="65099"/>
  <c r="J9" i="65099"/>
  <c r="J8" i="65099"/>
  <c r="J26" i="65067"/>
  <c r="J15" i="65067"/>
  <c r="J13" i="65067"/>
  <c r="J12" i="65067"/>
  <c r="J10" i="65067"/>
  <c r="J9" i="65067"/>
  <c r="J8" i="65067" s="1"/>
  <c r="I26" i="65067"/>
  <c r="I15" i="65067"/>
  <c r="I13" i="65067"/>
  <c r="I12" i="65067"/>
  <c r="I10" i="65067"/>
  <c r="I9" i="65067"/>
  <c r="I8" i="65067" s="1"/>
  <c r="J45" i="65065"/>
  <c r="J42" i="65065"/>
  <c r="J34" i="65065"/>
  <c r="J21" i="65065"/>
  <c r="J19" i="65065"/>
  <c r="J18" i="65065"/>
  <c r="J15" i="65065"/>
  <c r="J14" i="65065"/>
  <c r="J13" i="65065" s="1"/>
  <c r="J8" i="65065"/>
  <c r="I45" i="65065"/>
  <c r="I42" i="65065"/>
  <c r="I34" i="65065"/>
  <c r="I21" i="65065"/>
  <c r="I19" i="65065"/>
  <c r="I18" i="65065"/>
  <c r="I15" i="65065"/>
  <c r="I14" i="65065"/>
  <c r="I13" i="65065" s="1"/>
  <c r="I8" i="65065"/>
  <c r="J29" i="16"/>
  <c r="J28" i="16"/>
  <c r="J27" i="16"/>
  <c r="J26" i="16"/>
  <c r="J24" i="16"/>
  <c r="J23" i="16"/>
  <c r="J22" i="16"/>
  <c r="J21" i="16"/>
  <c r="J20" i="16"/>
  <c r="J19" i="16"/>
  <c r="J18" i="16"/>
  <c r="J17" i="16"/>
  <c r="J16" i="16"/>
  <c r="J15" i="16"/>
  <c r="J13" i="16"/>
  <c r="J12" i="16"/>
  <c r="J10" i="16"/>
  <c r="J9" i="16"/>
  <c r="J8" i="16"/>
  <c r="I26" i="16"/>
  <c r="I15" i="16"/>
  <c r="I13" i="16"/>
  <c r="I12" i="16"/>
  <c r="I10" i="16"/>
  <c r="I9" i="16"/>
  <c r="I8" i="16" s="1"/>
  <c r="J98" i="300" l="1"/>
  <c r="I30" i="300"/>
  <c r="I41" i="300"/>
  <c r="I35" i="300"/>
  <c r="E48" i="65139"/>
  <c r="E47" i="65139" s="1"/>
  <c r="E225" i="65139"/>
  <c r="E212" i="65139" s="1"/>
  <c r="E63" i="65139"/>
  <c r="E87" i="65139"/>
  <c r="E111" i="65139"/>
  <c r="E28" i="65139"/>
  <c r="E6" i="65139"/>
  <c r="E132" i="65139"/>
  <c r="E183" i="65139"/>
  <c r="I8" i="65080"/>
  <c r="G199" i="65139"/>
  <c r="D192" i="65139"/>
  <c r="E105" i="65139" l="1"/>
  <c r="E82" i="65139" s="1"/>
  <c r="E62" i="65139" s="1"/>
  <c r="E5" i="65139"/>
  <c r="E181" i="65139" l="1"/>
  <c r="E249" i="65139" s="1"/>
  <c r="E256" i="65139" s="1"/>
  <c r="L33" i="65143"/>
  <c r="L32" i="65143"/>
  <c r="I16" i="300"/>
  <c r="H16" i="300"/>
  <c r="G16" i="300"/>
  <c r="I18" i="300"/>
  <c r="H18" i="300"/>
  <c r="G18" i="300"/>
  <c r="I22" i="300"/>
  <c r="H22" i="300"/>
  <c r="G22" i="300"/>
  <c r="H29" i="300"/>
  <c r="G29" i="300"/>
  <c r="H28" i="300"/>
  <c r="G28" i="300"/>
  <c r="H27" i="300"/>
  <c r="G27" i="300"/>
  <c r="H31" i="300"/>
  <c r="G31" i="300"/>
  <c r="H34" i="300"/>
  <c r="G34" i="300"/>
  <c r="H33" i="300"/>
  <c r="G33" i="300"/>
  <c r="H36" i="300"/>
  <c r="G36" i="300"/>
  <c r="H39" i="300"/>
  <c r="G39" i="300"/>
  <c r="H42" i="300"/>
  <c r="G42" i="300"/>
  <c r="H108" i="300"/>
  <c r="G108" i="300"/>
  <c r="H107" i="300"/>
  <c r="G107" i="300"/>
  <c r="F108" i="300"/>
  <c r="F107" i="300"/>
  <c r="F42" i="300"/>
  <c r="F39" i="300"/>
  <c r="F36" i="300"/>
  <c r="F34" i="300"/>
  <c r="F33" i="300"/>
  <c r="F31" i="300"/>
  <c r="F29" i="300"/>
  <c r="F28" i="300"/>
  <c r="F27" i="300"/>
  <c r="F22" i="300"/>
  <c r="F18" i="300"/>
  <c r="F16" i="300"/>
  <c r="D13" i="65125"/>
  <c r="C13" i="65125" s="1"/>
  <c r="G11" i="65142"/>
  <c r="J11" i="65124"/>
  <c r="N29" i="65143"/>
  <c r="N28" i="65143"/>
  <c r="M28" i="65143"/>
  <c r="N27" i="65143"/>
  <c r="M27" i="65143"/>
  <c r="M26" i="65143" s="1"/>
  <c r="L26" i="65143"/>
  <c r="K26" i="65143"/>
  <c r="J26" i="65143"/>
  <c r="I26" i="65143"/>
  <c r="N25" i="65143"/>
  <c r="N24" i="65143"/>
  <c r="M24" i="65143"/>
  <c r="N23" i="65143"/>
  <c r="M23" i="65143"/>
  <c r="N22" i="65143"/>
  <c r="M22" i="65143"/>
  <c r="N21" i="65143"/>
  <c r="M21" i="65143"/>
  <c r="N20" i="65143"/>
  <c r="M20" i="65143"/>
  <c r="M19" i="65143"/>
  <c r="N19" i="65143" s="1"/>
  <c r="N18" i="65143"/>
  <c r="M18" i="65143"/>
  <c r="N17" i="65143"/>
  <c r="M17" i="65143"/>
  <c r="N16" i="65143"/>
  <c r="M16" i="65143"/>
  <c r="L15" i="65143"/>
  <c r="K15" i="65143"/>
  <c r="J15" i="65143"/>
  <c r="I15" i="65143"/>
  <c r="N14" i="65143"/>
  <c r="N13" i="65143"/>
  <c r="M13" i="65143"/>
  <c r="M12" i="65143" s="1"/>
  <c r="E11" i="65124" s="1"/>
  <c r="L12" i="65143"/>
  <c r="K12" i="65143"/>
  <c r="J12" i="65143"/>
  <c r="N12" i="65143" s="1"/>
  <c r="I12" i="65143"/>
  <c r="N11" i="65143"/>
  <c r="M10" i="65143"/>
  <c r="N9" i="65143"/>
  <c r="M9" i="65143"/>
  <c r="L8" i="65143"/>
  <c r="L31" i="65143" s="1"/>
  <c r="K8" i="65143"/>
  <c r="K31" i="65143" s="1"/>
  <c r="J8" i="65143"/>
  <c r="I8" i="65143"/>
  <c r="N10" i="65143" l="1"/>
  <c r="D11" i="65124"/>
  <c r="M8" i="65143"/>
  <c r="M31" i="65143" s="1"/>
  <c r="C11" i="65124"/>
  <c r="M15" i="65143"/>
  <c r="J31" i="65143"/>
  <c r="N31" i="65143" s="1"/>
  <c r="I31" i="65143"/>
  <c r="N15" i="65143"/>
  <c r="N26" i="65143"/>
  <c r="N8" i="65143"/>
  <c r="I62" i="300"/>
  <c r="H62" i="300"/>
  <c r="G62" i="300"/>
  <c r="F62" i="300"/>
  <c r="L26" i="65095"/>
  <c r="K26" i="65095"/>
  <c r="N27" i="65095"/>
  <c r="M27" i="65095"/>
  <c r="L11" i="65124" l="1"/>
  <c r="J62" i="300"/>
  <c r="K62" i="300" s="1"/>
  <c r="G223" i="65139" l="1"/>
  <c r="G168" i="65139" l="1"/>
  <c r="H50" i="300" l="1"/>
  <c r="G50" i="300"/>
  <c r="F50" i="300"/>
  <c r="I19" i="300"/>
  <c r="H19" i="300"/>
  <c r="G19" i="300"/>
  <c r="F19" i="300"/>
  <c r="L15" i="65080"/>
  <c r="K15" i="65080"/>
  <c r="M28" i="65080"/>
  <c r="L30" i="65080"/>
  <c r="K30" i="65080"/>
  <c r="N28" i="65080" l="1"/>
  <c r="K50" i="300"/>
  <c r="N34" i="65076"/>
  <c r="G164" i="65139" l="1"/>
  <c r="F192" i="65139"/>
  <c r="F174" i="65139"/>
  <c r="G179" i="65139"/>
  <c r="G138" i="65139"/>
  <c r="F137" i="65139"/>
  <c r="D137" i="65139"/>
  <c r="G128" i="65139"/>
  <c r="G70" i="65139"/>
  <c r="J31" i="65096"/>
  <c r="J32" i="65096" s="1"/>
  <c r="J33" i="65096" s="1"/>
  <c r="J31" i="65094"/>
  <c r="J32" i="65094" s="1"/>
  <c r="J33" i="65094" s="1"/>
  <c r="J31" i="65089"/>
  <c r="J31" i="65086"/>
  <c r="J31" i="65085"/>
  <c r="J31" i="65082"/>
  <c r="J31" i="65115"/>
  <c r="J32" i="65115" s="1"/>
  <c r="J32" i="65071"/>
  <c r="J33" i="65071" s="1"/>
  <c r="I24" i="300"/>
  <c r="H24" i="300"/>
  <c r="G24" i="300"/>
  <c r="F24" i="300"/>
  <c r="L12" i="65069"/>
  <c r="K12" i="65069"/>
  <c r="M15" i="65069"/>
  <c r="N15" i="65069" s="1"/>
  <c r="J31" i="65068"/>
  <c r="J31" i="65099"/>
  <c r="J31" i="65067"/>
  <c r="J52" i="65065"/>
  <c r="F43" i="65142"/>
  <c r="E43" i="65142"/>
  <c r="D43" i="65142"/>
  <c r="C43" i="65142"/>
  <c r="G42" i="65142"/>
  <c r="G41" i="65142"/>
  <c r="G40" i="65142"/>
  <c r="G39" i="65142"/>
  <c r="G38" i="65142"/>
  <c r="G37" i="65142"/>
  <c r="G36" i="65142"/>
  <c r="G35" i="65142"/>
  <c r="G34" i="65142"/>
  <c r="G33" i="65142"/>
  <c r="G32" i="65142"/>
  <c r="G31" i="65142"/>
  <c r="G30" i="65142"/>
  <c r="G29" i="65142"/>
  <c r="G28" i="65142"/>
  <c r="G27" i="65142"/>
  <c r="G26" i="65142"/>
  <c r="G25" i="65142"/>
  <c r="G24" i="65142"/>
  <c r="G23" i="65142"/>
  <c r="G22" i="65142"/>
  <c r="G21" i="65142"/>
  <c r="G20" i="65142"/>
  <c r="G19" i="65142"/>
  <c r="G18" i="65142"/>
  <c r="G17" i="65142"/>
  <c r="G16" i="65142"/>
  <c r="G15" i="65142"/>
  <c r="G14" i="65142"/>
  <c r="G13" i="65142"/>
  <c r="G12" i="65142"/>
  <c r="G10" i="65142"/>
  <c r="G9" i="65142"/>
  <c r="G8" i="65142"/>
  <c r="G7" i="65142"/>
  <c r="G6" i="65142"/>
  <c r="G5" i="65142"/>
  <c r="J48" i="65076" l="1"/>
  <c r="J49" i="65076" s="1"/>
  <c r="J50" i="65076" s="1"/>
  <c r="G137" i="65139"/>
  <c r="G43" i="65142"/>
  <c r="J31" i="65105"/>
  <c r="J32" i="65105" s="1"/>
  <c r="J33" i="65105" s="1"/>
  <c r="J31" i="65098"/>
  <c r="J32" i="65098" s="1"/>
  <c r="J33" i="65098" s="1"/>
  <c r="J31" i="65097"/>
  <c r="J32" i="65097" s="1"/>
  <c r="J33" i="65097" s="1"/>
  <c r="J35" i="65093"/>
  <c r="J31" i="65088"/>
  <c r="J31" i="65087"/>
  <c r="J31" i="65084"/>
  <c r="J31" i="65083"/>
  <c r="J31" i="65122"/>
  <c r="J41" i="65079"/>
  <c r="J42" i="65079" s="1"/>
  <c r="J43" i="65079" s="1"/>
  <c r="J37" i="65078"/>
  <c r="J38" i="65078" s="1"/>
  <c r="J39" i="65078" s="1"/>
  <c r="J37" i="65077"/>
  <c r="J38" i="65077" s="1"/>
  <c r="J39" i="65077" s="1"/>
  <c r="J40" i="65075"/>
  <c r="J41" i="65075" s="1"/>
  <c r="J42" i="65075" s="1"/>
  <c r="J31" i="65141"/>
  <c r="J32" i="65141" s="1"/>
  <c r="J31" i="65100"/>
  <c r="J32" i="65100" s="1"/>
  <c r="J31" i="65074"/>
  <c r="J33" i="65070"/>
  <c r="J33" i="65069"/>
  <c r="J34" i="65069" s="1"/>
  <c r="J35" i="65069" s="1"/>
  <c r="J24" i="300"/>
  <c r="K24" i="300" s="1"/>
  <c r="J34" i="65140"/>
  <c r="G203" i="65139"/>
  <c r="J36" i="65095"/>
  <c r="J37" i="65095" s="1"/>
  <c r="J38" i="65095" s="1"/>
  <c r="J36" i="65093" l="1"/>
  <c r="J37" i="65093" s="1"/>
  <c r="G119" i="300"/>
  <c r="J32" i="65089"/>
  <c r="J33" i="65141"/>
  <c r="I68" i="300" l="1"/>
  <c r="G68" i="300"/>
  <c r="F68" i="300"/>
  <c r="H68" i="300"/>
  <c r="M34" i="65080"/>
  <c r="J68" i="300" s="1"/>
  <c r="N34" i="65080" l="1"/>
  <c r="K68" i="300"/>
  <c r="M23" i="65078" l="1"/>
  <c r="J37" i="300" s="1"/>
  <c r="I106" i="300" l="1"/>
  <c r="H106" i="300"/>
  <c r="G106" i="300"/>
  <c r="F106" i="300"/>
  <c r="L45" i="65065"/>
  <c r="K45" i="65065"/>
  <c r="M46" i="65065"/>
  <c r="N46" i="65065" s="1"/>
  <c r="J106" i="300" l="1"/>
  <c r="K106" i="300" s="1"/>
  <c r="K12" i="65105" l="1"/>
  <c r="K8" i="65105"/>
  <c r="K12" i="65098"/>
  <c r="K8" i="65098"/>
  <c r="K12" i="65097"/>
  <c r="K8" i="65097"/>
  <c r="K12" i="65096"/>
  <c r="K8" i="65096"/>
  <c r="K12" i="65095"/>
  <c r="K8" i="65095"/>
  <c r="K12" i="65094"/>
  <c r="K8" i="65094"/>
  <c r="K12" i="65093"/>
  <c r="K8" i="65093"/>
  <c r="K12" i="65089"/>
  <c r="K8" i="65089"/>
  <c r="K12" i="65088"/>
  <c r="K8" i="65088"/>
  <c r="K12" i="65087"/>
  <c r="K8" i="65087"/>
  <c r="K12" i="65086"/>
  <c r="K8" i="65086"/>
  <c r="K12" i="65085"/>
  <c r="K8" i="65085"/>
  <c r="K12" i="65084"/>
  <c r="K8" i="65084"/>
  <c r="K12" i="65083"/>
  <c r="K8" i="65083"/>
  <c r="K12" i="65122"/>
  <c r="K8" i="65122"/>
  <c r="K12" i="65081"/>
  <c r="K8" i="65081"/>
  <c r="K12" i="65082"/>
  <c r="K8" i="65082"/>
  <c r="K12" i="65080"/>
  <c r="K8" i="65080"/>
  <c r="K12" i="65079"/>
  <c r="K8" i="65079"/>
  <c r="K12" i="65078"/>
  <c r="K8" i="65078"/>
  <c r="K12" i="65077"/>
  <c r="K8" i="65077"/>
  <c r="K15" i="65076"/>
  <c r="K11" i="65076"/>
  <c r="K12" i="65075"/>
  <c r="K8" i="65075"/>
  <c r="K12" i="65115"/>
  <c r="K8" i="65115"/>
  <c r="K12" i="65100"/>
  <c r="K8" i="65100"/>
  <c r="K12" i="65074"/>
  <c r="K8" i="65074"/>
  <c r="K12" i="65071"/>
  <c r="K8" i="65071"/>
  <c r="K12" i="65070"/>
  <c r="K8" i="65070"/>
  <c r="K8" i="65069"/>
  <c r="K12" i="65068"/>
  <c r="K8" i="65068"/>
  <c r="K12" i="65140"/>
  <c r="K8" i="65140"/>
  <c r="K12" i="65123"/>
  <c r="K8" i="65123"/>
  <c r="K12" i="65099"/>
  <c r="K8" i="65099"/>
  <c r="K12" i="65067"/>
  <c r="K8" i="65067"/>
  <c r="K18" i="65065"/>
  <c r="K13" i="65065"/>
  <c r="K12" i="16"/>
  <c r="K8" i="16"/>
  <c r="G230" i="65139" l="1"/>
  <c r="D49" i="65139"/>
  <c r="I31" i="65094" l="1"/>
  <c r="I32" i="65094" s="1"/>
  <c r="I33" i="65094" s="1"/>
  <c r="I69" i="300" l="1"/>
  <c r="H69" i="300"/>
  <c r="G69" i="300"/>
  <c r="F69" i="300"/>
  <c r="M35" i="65080"/>
  <c r="N35" i="65080" s="1"/>
  <c r="I74" i="300"/>
  <c r="H74" i="300"/>
  <c r="G74" i="300"/>
  <c r="F74" i="300"/>
  <c r="L34" i="65065"/>
  <c r="K34" i="65065"/>
  <c r="M40" i="65065"/>
  <c r="N40" i="65065" s="1"/>
  <c r="J69" i="300" l="1"/>
  <c r="K69" i="300" s="1"/>
  <c r="J74" i="300"/>
  <c r="K74" i="300" s="1"/>
  <c r="I48" i="65076" l="1"/>
  <c r="G171" i="65139"/>
  <c r="K43" i="65076" l="1"/>
  <c r="K39" i="65076"/>
  <c r="K35" i="65076"/>
  <c r="K30" i="65076"/>
  <c r="K18" i="65076"/>
  <c r="G229" i="65139" l="1"/>
  <c r="G195" i="65139"/>
  <c r="F173" i="65139"/>
  <c r="G166" i="65139" s="1"/>
  <c r="L27" i="65078" l="1"/>
  <c r="K27" i="65078"/>
  <c r="L8" i="65075"/>
  <c r="L12" i="65075"/>
  <c r="L15" i="65075"/>
  <c r="K15" i="65075"/>
  <c r="L27" i="65075"/>
  <c r="K27" i="65075"/>
  <c r="L31" i="65075"/>
  <c r="K31" i="65075"/>
  <c r="F120" i="65139" l="1"/>
  <c r="D120" i="65139"/>
  <c r="G122" i="65139"/>
  <c r="G121" i="65139"/>
  <c r="E95" i="300" l="1"/>
  <c r="F190" i="65139"/>
  <c r="D190" i="65139"/>
  <c r="I95" i="300" l="1"/>
  <c r="H95" i="300"/>
  <c r="G95" i="300"/>
  <c r="F95" i="300"/>
  <c r="M32" i="65075"/>
  <c r="J95" i="300" s="1"/>
  <c r="N32" i="65075" l="1"/>
  <c r="K95" i="300"/>
  <c r="F112" i="65139" l="1"/>
  <c r="F111" i="65139" s="1"/>
  <c r="M24" i="65085" l="1"/>
  <c r="K17" i="65069" l="1"/>
  <c r="K21" i="65065"/>
  <c r="K30" i="65093"/>
  <c r="K27" i="65071"/>
  <c r="K28" i="65070"/>
  <c r="K28" i="65069"/>
  <c r="K29" i="65140"/>
  <c r="M31" i="65095"/>
  <c r="M32" i="65093"/>
  <c r="M32" i="65080"/>
  <c r="M31" i="65078"/>
  <c r="M31" i="65076"/>
  <c r="M31" i="65140"/>
  <c r="J31" i="65081"/>
  <c r="J32" i="65122" s="1"/>
  <c r="J33" i="65089" s="1"/>
  <c r="G123" i="65139"/>
  <c r="G120" i="65139"/>
  <c r="G119" i="65139"/>
  <c r="G118" i="65139"/>
  <c r="G117" i="65139"/>
  <c r="H49" i="300"/>
  <c r="G49" i="300"/>
  <c r="H48" i="300"/>
  <c r="G48" i="300"/>
  <c r="H47" i="300"/>
  <c r="G47" i="300"/>
  <c r="H46" i="300"/>
  <c r="G46" i="300"/>
  <c r="H45" i="300"/>
  <c r="G45" i="300"/>
  <c r="H44" i="300"/>
  <c r="G44" i="300"/>
  <c r="H43" i="300"/>
  <c r="G43" i="300"/>
  <c r="H40" i="300"/>
  <c r="G40" i="300"/>
  <c r="H37" i="300"/>
  <c r="G37" i="300"/>
  <c r="H32" i="300"/>
  <c r="G32" i="300"/>
  <c r="G41" i="300" l="1"/>
  <c r="H41" i="300"/>
  <c r="G30" i="300"/>
  <c r="G35" i="300"/>
  <c r="G38" i="300"/>
  <c r="J31" i="65123"/>
  <c r="J32" i="65143" s="1"/>
  <c r="H35" i="300"/>
  <c r="H30" i="300"/>
  <c r="H38" i="300"/>
  <c r="F32" i="300"/>
  <c r="M20" i="65080"/>
  <c r="J32" i="300" l="1"/>
  <c r="K32" i="300" s="1"/>
  <c r="J33" i="65143"/>
  <c r="N20" i="65080"/>
  <c r="G152" i="65139"/>
  <c r="I109" i="300" l="1"/>
  <c r="H109" i="300"/>
  <c r="G109" i="300"/>
  <c r="F109" i="300"/>
  <c r="G110" i="300"/>
  <c r="H110" i="300"/>
  <c r="I110" i="300"/>
  <c r="M33" i="65095" l="1"/>
  <c r="F110" i="300"/>
  <c r="E11" i="65137"/>
  <c r="E19" i="65124"/>
  <c r="D19" i="65124"/>
  <c r="C19" i="65124"/>
  <c r="I26" i="300"/>
  <c r="G26" i="300"/>
  <c r="F30" i="300"/>
  <c r="I23" i="300"/>
  <c r="I21" i="300" s="1"/>
  <c r="H23" i="300"/>
  <c r="H21" i="300" s="1"/>
  <c r="G21" i="300"/>
  <c r="F21" i="300"/>
  <c r="N29" i="65141"/>
  <c r="M28" i="65141"/>
  <c r="N28" i="65141" s="1"/>
  <c r="N27" i="65141"/>
  <c r="M27" i="65141"/>
  <c r="L26" i="65141"/>
  <c r="K26" i="65141"/>
  <c r="N25" i="65141"/>
  <c r="M24" i="65141"/>
  <c r="N24" i="65141" s="1"/>
  <c r="N23" i="65141"/>
  <c r="M23" i="65141"/>
  <c r="M22" i="65141"/>
  <c r="N22" i="65141" s="1"/>
  <c r="N21" i="65141"/>
  <c r="M21" i="65141"/>
  <c r="N20" i="65141"/>
  <c r="M20" i="65141"/>
  <c r="M19" i="65141"/>
  <c r="N19" i="65141" s="1"/>
  <c r="M18" i="65141"/>
  <c r="N18" i="65141" s="1"/>
  <c r="N17" i="65141"/>
  <c r="M17" i="65141"/>
  <c r="M16" i="65141"/>
  <c r="L15" i="65141"/>
  <c r="K15" i="65141"/>
  <c r="F19" i="65124" s="1"/>
  <c r="N14" i="65141"/>
  <c r="M13" i="65141"/>
  <c r="N13" i="65141" s="1"/>
  <c r="L12" i="65141"/>
  <c r="K12" i="65141"/>
  <c r="N11" i="65141"/>
  <c r="M10" i="65141"/>
  <c r="N10" i="65141" s="1"/>
  <c r="M9" i="65141"/>
  <c r="L8" i="65141"/>
  <c r="K8" i="65141"/>
  <c r="M26" i="65141" l="1"/>
  <c r="I31" i="65141"/>
  <c r="I32" i="65141" s="1"/>
  <c r="L31" i="65141"/>
  <c r="L32" i="65141" s="1"/>
  <c r="M15" i="65141"/>
  <c r="N15" i="65141" s="1"/>
  <c r="K31" i="65141"/>
  <c r="K32" i="65141" s="1"/>
  <c r="J19" i="65124"/>
  <c r="L19" i="65124" s="1"/>
  <c r="N16" i="65141"/>
  <c r="I17" i="300"/>
  <c r="H26" i="300"/>
  <c r="N33" i="65095"/>
  <c r="J109" i="300"/>
  <c r="N9" i="65141"/>
  <c r="M8" i="65141"/>
  <c r="M12" i="65141"/>
  <c r="N12" i="65141" s="1"/>
  <c r="N26" i="65141" l="1"/>
  <c r="D21" i="65125"/>
  <c r="C21" i="65125" s="1"/>
  <c r="K109" i="300"/>
  <c r="M31" i="65141"/>
  <c r="N8" i="65141"/>
  <c r="M32" i="65141" l="1"/>
  <c r="N31" i="65141"/>
  <c r="N32" i="65141" l="1"/>
  <c r="L26" i="16"/>
  <c r="K26" i="16"/>
  <c r="M29" i="16"/>
  <c r="G124" i="65139"/>
  <c r="G116" i="65139"/>
  <c r="G115" i="65139"/>
  <c r="D253" i="65139"/>
  <c r="D252" i="65139" s="1"/>
  <c r="D251" i="65139" s="1"/>
  <c r="D245" i="65139"/>
  <c r="D242" i="65139"/>
  <c r="D214" i="65139"/>
  <c r="D213" i="65139" s="1"/>
  <c r="D208" i="65139"/>
  <c r="D207" i="65139" s="1"/>
  <c r="D204" i="65139"/>
  <c r="D173" i="65139"/>
  <c r="D145" i="65139"/>
  <c r="D141" i="65139"/>
  <c r="D139" i="65139"/>
  <c r="D135" i="65139"/>
  <c r="D133" i="65139"/>
  <c r="D130" i="65139"/>
  <c r="D125" i="65139"/>
  <c r="D112" i="65139"/>
  <c r="D111" i="65139" s="1"/>
  <c r="D106" i="65139"/>
  <c r="D99" i="65139"/>
  <c r="D98" i="65139" s="1"/>
  <c r="D95" i="65139"/>
  <c r="D90" i="65139"/>
  <c r="D85" i="65139"/>
  <c r="D83" i="65139"/>
  <c r="D80" i="65139"/>
  <c r="D78" i="65139"/>
  <c r="D76" i="65139"/>
  <c r="D73" i="65139"/>
  <c r="D68" i="65139"/>
  <c r="D64" i="65139"/>
  <c r="D57" i="65139"/>
  <c r="D56" i="65139" s="1"/>
  <c r="D53" i="65139"/>
  <c r="D29" i="65139"/>
  <c r="D21" i="65139"/>
  <c r="D20" i="65139" s="1"/>
  <c r="D17" i="65139"/>
  <c r="D16" i="65139" s="1"/>
  <c r="D13" i="65139"/>
  <c r="D7" i="65139"/>
  <c r="D132" i="65139" l="1"/>
  <c r="D226" i="65139"/>
  <c r="D225" i="65139" s="1"/>
  <c r="D212" i="65139" s="1"/>
  <c r="D144" i="65139"/>
  <c r="D63" i="65139"/>
  <c r="D28" i="65139"/>
  <c r="D6" i="65139"/>
  <c r="N29" i="16"/>
  <c r="D189" i="65139"/>
  <c r="D188" i="65139" s="1"/>
  <c r="D39" i="65139"/>
  <c r="D38" i="65139" s="1"/>
  <c r="D88" i="65139"/>
  <c r="D87" i="65139" s="1"/>
  <c r="D185" i="65139"/>
  <c r="D184" i="65139" s="1"/>
  <c r="D48" i="65139"/>
  <c r="D47" i="65139" s="1"/>
  <c r="M14" i="65069"/>
  <c r="D105" i="65139" l="1"/>
  <c r="D183" i="65139"/>
  <c r="D5" i="65139"/>
  <c r="N14" i="65069"/>
  <c r="J23" i="300"/>
  <c r="K23" i="300" s="1"/>
  <c r="D82" i="65139" l="1"/>
  <c r="D62" i="65139" s="1"/>
  <c r="D181" i="65139" s="1"/>
  <c r="D249" i="65139" l="1"/>
  <c r="D256" i="65139" s="1"/>
  <c r="G79" i="65139"/>
  <c r="F78" i="65139"/>
  <c r="G78" i="65139" s="1"/>
  <c r="F141" i="65139" l="1"/>
  <c r="G255" i="65139" l="1"/>
  <c r="F253" i="65139"/>
  <c r="F252" i="65139" s="1"/>
  <c r="F251" i="65139" s="1"/>
  <c r="F29" i="304" s="1"/>
  <c r="G250" i="65139"/>
  <c r="G248" i="65139"/>
  <c r="G247" i="65139"/>
  <c r="G246" i="65139"/>
  <c r="F245" i="65139"/>
  <c r="F19" i="304" s="1"/>
  <c r="G244" i="65139"/>
  <c r="F242" i="65139"/>
  <c r="G243" i="65139"/>
  <c r="G242" i="65139"/>
  <c r="G241" i="65139"/>
  <c r="G232" i="65139"/>
  <c r="G231" i="65139"/>
  <c r="G228" i="65139"/>
  <c r="G224" i="65139"/>
  <c r="G222" i="65139"/>
  <c r="F214" i="65139"/>
  <c r="F213" i="65139" s="1"/>
  <c r="G211" i="65139"/>
  <c r="G210" i="65139"/>
  <c r="G209" i="65139"/>
  <c r="F208" i="65139"/>
  <c r="F207" i="65139" s="1"/>
  <c r="G206" i="65139"/>
  <c r="G205" i="65139"/>
  <c r="F204" i="65139"/>
  <c r="G202" i="65139"/>
  <c r="G194" i="65139"/>
  <c r="G193" i="65139"/>
  <c r="F185" i="65139"/>
  <c r="F184" i="65139" s="1"/>
  <c r="G186" i="65139"/>
  <c r="G182" i="65139"/>
  <c r="G180" i="65139"/>
  <c r="G178" i="65139"/>
  <c r="G177" i="65139"/>
  <c r="G176" i="65139"/>
  <c r="G175" i="65139"/>
  <c r="G172" i="65139"/>
  <c r="G170" i="65139"/>
  <c r="G169" i="65139"/>
  <c r="G159" i="65139"/>
  <c r="G158" i="65139"/>
  <c r="G157" i="65139"/>
  <c r="G156" i="65139"/>
  <c r="G155" i="65139"/>
  <c r="G154" i="65139"/>
  <c r="G151" i="65139"/>
  <c r="G150" i="65139"/>
  <c r="G149" i="65139"/>
  <c r="G148" i="65139"/>
  <c r="G147" i="65139"/>
  <c r="G146" i="65139"/>
  <c r="F145" i="65139"/>
  <c r="G143" i="65139"/>
  <c r="G142" i="65139"/>
  <c r="G140" i="65139"/>
  <c r="F139" i="65139"/>
  <c r="G136" i="65139"/>
  <c r="F135" i="65139"/>
  <c r="G134" i="65139"/>
  <c r="F133" i="65139"/>
  <c r="G131" i="65139"/>
  <c r="F130" i="65139"/>
  <c r="G129" i="65139"/>
  <c r="G127" i="65139"/>
  <c r="G126" i="65139"/>
  <c r="F125" i="65139"/>
  <c r="G114" i="65139"/>
  <c r="G113" i="65139"/>
  <c r="G110" i="65139"/>
  <c r="G109" i="65139"/>
  <c r="G108" i="65139"/>
  <c r="G107" i="65139"/>
  <c r="F106" i="65139"/>
  <c r="G104" i="65139"/>
  <c r="G102" i="65139"/>
  <c r="G101" i="65139"/>
  <c r="G100" i="65139"/>
  <c r="F99" i="65139"/>
  <c r="F98" i="65139" s="1"/>
  <c r="G97" i="65139"/>
  <c r="G96" i="65139"/>
  <c r="F95" i="65139"/>
  <c r="G94" i="65139"/>
  <c r="G93" i="65139"/>
  <c r="G92" i="65139"/>
  <c r="G91" i="65139"/>
  <c r="F90" i="65139"/>
  <c r="F88" i="65139" s="1"/>
  <c r="G89" i="65139"/>
  <c r="G86" i="65139"/>
  <c r="F85" i="65139"/>
  <c r="G84" i="65139"/>
  <c r="F83" i="65139"/>
  <c r="G81" i="65139"/>
  <c r="F80" i="65139"/>
  <c r="G77" i="65139"/>
  <c r="F76" i="65139"/>
  <c r="G75" i="65139"/>
  <c r="G74" i="65139"/>
  <c r="F73" i="65139"/>
  <c r="G72" i="65139"/>
  <c r="G71" i="65139"/>
  <c r="G69" i="65139"/>
  <c r="F68" i="65139"/>
  <c r="G67" i="65139"/>
  <c r="G66" i="65139"/>
  <c r="G65" i="65139"/>
  <c r="F64" i="65139"/>
  <c r="G61" i="65139"/>
  <c r="G60" i="65139"/>
  <c r="G59" i="65139"/>
  <c r="G58" i="65139"/>
  <c r="F57" i="65139"/>
  <c r="F56" i="65139" s="1"/>
  <c r="G55" i="65139"/>
  <c r="G54" i="65139"/>
  <c r="G52" i="65139"/>
  <c r="G51" i="65139"/>
  <c r="G50" i="65139"/>
  <c r="F49" i="65139"/>
  <c r="G46" i="65139"/>
  <c r="G45" i="65139"/>
  <c r="G44" i="65139"/>
  <c r="G43" i="65139"/>
  <c r="G42" i="65139"/>
  <c r="G41" i="65139"/>
  <c r="G40" i="65139"/>
  <c r="F39" i="65139"/>
  <c r="G37" i="65139"/>
  <c r="F36" i="65139"/>
  <c r="G35" i="65139"/>
  <c r="F34" i="65139"/>
  <c r="G33" i="65139"/>
  <c r="G32" i="65139"/>
  <c r="G31" i="65139"/>
  <c r="G30" i="65139"/>
  <c r="F29" i="65139"/>
  <c r="G27" i="65139"/>
  <c r="G26" i="65139"/>
  <c r="G25" i="65139"/>
  <c r="G24" i="65139"/>
  <c r="G23" i="65139"/>
  <c r="G22" i="65139"/>
  <c r="F21" i="65139"/>
  <c r="F20" i="65139" s="1"/>
  <c r="G19" i="65139"/>
  <c r="G18" i="65139"/>
  <c r="F17" i="65139"/>
  <c r="F16" i="65139" s="1"/>
  <c r="G15" i="65139"/>
  <c r="G14" i="65139"/>
  <c r="F13" i="65139"/>
  <c r="G12" i="65139"/>
  <c r="G11" i="65139"/>
  <c r="G10" i="65139"/>
  <c r="G9" i="65139"/>
  <c r="G8" i="65139"/>
  <c r="F7" i="65139"/>
  <c r="F38" i="65139" l="1"/>
  <c r="F132" i="65139"/>
  <c r="G251" i="65139"/>
  <c r="G253" i="65139"/>
  <c r="F189" i="65139"/>
  <c r="F188" i="65139" s="1"/>
  <c r="F183" i="65139" s="1"/>
  <c r="F144" i="65139"/>
  <c r="G144" i="65139" s="1"/>
  <c r="G252" i="65139"/>
  <c r="G254" i="65139"/>
  <c r="G208" i="65139"/>
  <c r="F28" i="65139"/>
  <c r="G28" i="65139" s="1"/>
  <c r="G34" i="65139"/>
  <c r="G36" i="65139"/>
  <c r="F63" i="65139"/>
  <c r="G76" i="65139"/>
  <c r="G80" i="65139"/>
  <c r="G187" i="65139"/>
  <c r="G191" i="65139"/>
  <c r="F226" i="65139"/>
  <c r="F225" i="65139" s="1"/>
  <c r="F212" i="65139" s="1"/>
  <c r="F18" i="304" s="1"/>
  <c r="G227" i="65139"/>
  <c r="G57" i="65139"/>
  <c r="G49" i="65139"/>
  <c r="F6" i="65139"/>
  <c r="G204" i="65139"/>
  <c r="G153" i="65139"/>
  <c r="G141" i="65139"/>
  <c r="G139" i="65139"/>
  <c r="G135" i="65139"/>
  <c r="G133" i="65139"/>
  <c r="G125" i="65139"/>
  <c r="G88" i="65139"/>
  <c r="G90" i="65139"/>
  <c r="F87" i="65139"/>
  <c r="G87" i="65139" s="1"/>
  <c r="G73" i="65139"/>
  <c r="G68" i="65139"/>
  <c r="G245" i="65139"/>
  <c r="G192" i="65139"/>
  <c r="G174" i="65139"/>
  <c r="G16" i="65139"/>
  <c r="G20" i="65139"/>
  <c r="G64" i="65139"/>
  <c r="G83" i="65139"/>
  <c r="G98" i="65139"/>
  <c r="G111" i="65139"/>
  <c r="G145" i="65139"/>
  <c r="G185" i="65139"/>
  <c r="G7" i="65139"/>
  <c r="G13" i="65139"/>
  <c r="G17" i="65139"/>
  <c r="G21" i="65139"/>
  <c r="G29" i="65139"/>
  <c r="G39" i="65139"/>
  <c r="G56" i="65139"/>
  <c r="G85" i="65139"/>
  <c r="G95" i="65139"/>
  <c r="G99" i="65139"/>
  <c r="G106" i="65139"/>
  <c r="G112" i="65139"/>
  <c r="G130" i="65139"/>
  <c r="G207" i="65139"/>
  <c r="G215" i="65139"/>
  <c r="G38" i="65139" l="1"/>
  <c r="G6" i="65139"/>
  <c r="G226" i="65139"/>
  <c r="F105" i="65139"/>
  <c r="F82" i="65139" s="1"/>
  <c r="F17" i="304"/>
  <c r="G225" i="65139"/>
  <c r="G63" i="65139"/>
  <c r="G132" i="65139"/>
  <c r="G190" i="65139"/>
  <c r="G173" i="65139"/>
  <c r="G184" i="65139"/>
  <c r="G214" i="65139"/>
  <c r="G105" i="65139" l="1"/>
  <c r="F62" i="65139"/>
  <c r="G213" i="65139"/>
  <c r="G212" i="65139"/>
  <c r="G189" i="65139"/>
  <c r="F16" i="304" l="1"/>
  <c r="G82" i="65139"/>
  <c r="G62" i="65139"/>
  <c r="G188" i="65139"/>
  <c r="G183" i="65139"/>
  <c r="L26" i="65105" l="1"/>
  <c r="K26" i="65105"/>
  <c r="L15" i="65105"/>
  <c r="K15" i="65105"/>
  <c r="L12" i="65105"/>
  <c r="L8" i="65105"/>
  <c r="L26" i="65098"/>
  <c r="K26" i="65098"/>
  <c r="L15" i="65098"/>
  <c r="K15" i="65098"/>
  <c r="L12" i="65098"/>
  <c r="L8" i="65098"/>
  <c r="L26" i="65097"/>
  <c r="K26" i="65097"/>
  <c r="L15" i="65097"/>
  <c r="K15" i="65097"/>
  <c r="L12" i="65097"/>
  <c r="L8" i="65097"/>
  <c r="I31" i="65097"/>
  <c r="I32" i="65097" s="1"/>
  <c r="I33" i="65097" s="1"/>
  <c r="L26" i="65096"/>
  <c r="K26" i="65096"/>
  <c r="L15" i="65096"/>
  <c r="K15" i="65096"/>
  <c r="L12" i="65096"/>
  <c r="L8" i="65096"/>
  <c r="L30" i="65095"/>
  <c r="K30" i="65095"/>
  <c r="L15" i="65095"/>
  <c r="K15" i="65095"/>
  <c r="L12" i="65095"/>
  <c r="L8" i="65095"/>
  <c r="L26" i="65094"/>
  <c r="K26" i="65094"/>
  <c r="L15" i="65094"/>
  <c r="K15" i="65094"/>
  <c r="L12" i="65094"/>
  <c r="L8" i="65094"/>
  <c r="L30" i="65093"/>
  <c r="L15" i="65093"/>
  <c r="K15" i="65093"/>
  <c r="L12" i="65093"/>
  <c r="L8" i="65093"/>
  <c r="L26" i="65089"/>
  <c r="K26" i="65089"/>
  <c r="L15" i="65089"/>
  <c r="K15" i="65089"/>
  <c r="L12" i="65089"/>
  <c r="L8" i="65089"/>
  <c r="L26" i="65088"/>
  <c r="K26" i="65088"/>
  <c r="L15" i="65088"/>
  <c r="K15" i="65088"/>
  <c r="L12" i="65088"/>
  <c r="L8" i="65088"/>
  <c r="L26" i="65087"/>
  <c r="K26" i="65087"/>
  <c r="L15" i="65087"/>
  <c r="K15" i="65087"/>
  <c r="L12" i="65087"/>
  <c r="L8" i="65087"/>
  <c r="L26" i="65086"/>
  <c r="K26" i="65086"/>
  <c r="L15" i="65086"/>
  <c r="K15" i="65086"/>
  <c r="L12" i="65086"/>
  <c r="L8" i="65086"/>
  <c r="L26" i="65085"/>
  <c r="K26" i="65085"/>
  <c r="L15" i="65085"/>
  <c r="K15" i="65085"/>
  <c r="L12" i="65085"/>
  <c r="L8" i="65085"/>
  <c r="L26" i="65084"/>
  <c r="K26" i="65084"/>
  <c r="L15" i="65084"/>
  <c r="K15" i="65084"/>
  <c r="L12" i="65084"/>
  <c r="L8" i="65084"/>
  <c r="L26" i="65083"/>
  <c r="K26" i="65083"/>
  <c r="L15" i="65083"/>
  <c r="K15" i="65083"/>
  <c r="L12" i="65083"/>
  <c r="L8" i="65083"/>
  <c r="L26" i="65122"/>
  <c r="K26" i="65122"/>
  <c r="L15" i="65122"/>
  <c r="K15" i="65122"/>
  <c r="L12" i="65122"/>
  <c r="L8" i="65122"/>
  <c r="I31" i="65122"/>
  <c r="L26" i="65081"/>
  <c r="K26" i="65081"/>
  <c r="L15" i="65081"/>
  <c r="K15" i="65081"/>
  <c r="L12" i="65081"/>
  <c r="L8" i="65081"/>
  <c r="I31" i="65081"/>
  <c r="L26" i="65082"/>
  <c r="K26" i="65082"/>
  <c r="L15" i="65082"/>
  <c r="K15" i="65082"/>
  <c r="L12" i="65082"/>
  <c r="L8" i="65082"/>
  <c r="I31" i="65082"/>
  <c r="L44" i="65080"/>
  <c r="K44" i="65080"/>
  <c r="K49" i="65080" s="1"/>
  <c r="L12" i="65080"/>
  <c r="L8" i="65080"/>
  <c r="L36" i="65079"/>
  <c r="K36" i="65079"/>
  <c r="L32" i="65079"/>
  <c r="K32" i="65079"/>
  <c r="L26" i="65079"/>
  <c r="K26" i="65079"/>
  <c r="L15" i="65079"/>
  <c r="K15" i="65079"/>
  <c r="L12" i="65079"/>
  <c r="L8" i="65079"/>
  <c r="L30" i="65078"/>
  <c r="K30" i="65078"/>
  <c r="L15" i="65078"/>
  <c r="K15" i="65078"/>
  <c r="L12" i="65078"/>
  <c r="L8" i="65078"/>
  <c r="L32" i="65077"/>
  <c r="K32" i="65077"/>
  <c r="L26" i="65077"/>
  <c r="K26" i="65077"/>
  <c r="L15" i="65077"/>
  <c r="K15" i="65077"/>
  <c r="L12" i="65077"/>
  <c r="L8" i="65077"/>
  <c r="L43" i="65076"/>
  <c r="L39" i="65076"/>
  <c r="L35" i="65076"/>
  <c r="L30" i="65076"/>
  <c r="L48" i="65076" s="1"/>
  <c r="L49" i="65076" s="1"/>
  <c r="L50" i="65076" s="1"/>
  <c r="L18" i="65076"/>
  <c r="L15" i="65076"/>
  <c r="L11" i="65076"/>
  <c r="L8" i="65076"/>
  <c r="K8" i="65076"/>
  <c r="K48" i="65076" s="1"/>
  <c r="K49" i="65076" s="1"/>
  <c r="K50" i="65076" s="1"/>
  <c r="L35" i="65075"/>
  <c r="K35" i="65075"/>
  <c r="L26" i="65115"/>
  <c r="K26" i="65115"/>
  <c r="L15" i="65115"/>
  <c r="K15" i="65115"/>
  <c r="L12" i="65115"/>
  <c r="L8" i="65115"/>
  <c r="L26" i="65100"/>
  <c r="K26" i="65100"/>
  <c r="L15" i="65100"/>
  <c r="K15" i="65100"/>
  <c r="L12" i="65100"/>
  <c r="L8" i="65100"/>
  <c r="L26" i="65074"/>
  <c r="K26" i="65074"/>
  <c r="L15" i="65074"/>
  <c r="K15" i="65074"/>
  <c r="L12" i="65074"/>
  <c r="L8" i="65074"/>
  <c r="L27" i="65071"/>
  <c r="L15" i="65071"/>
  <c r="K15" i="65071"/>
  <c r="L12" i="65071"/>
  <c r="L8" i="65071"/>
  <c r="L28" i="65070"/>
  <c r="L15" i="65070"/>
  <c r="K15" i="65070"/>
  <c r="L12" i="65070"/>
  <c r="L8" i="65070"/>
  <c r="L28" i="65069"/>
  <c r="L17" i="65069"/>
  <c r="L8" i="65069"/>
  <c r="L26" i="65068"/>
  <c r="K26" i="65068"/>
  <c r="L15" i="65068"/>
  <c r="K15" i="65068"/>
  <c r="L12" i="65068"/>
  <c r="L8" i="65068"/>
  <c r="L29" i="65140"/>
  <c r="L26" i="65140"/>
  <c r="K26" i="65140"/>
  <c r="L15" i="65140"/>
  <c r="K15" i="65140"/>
  <c r="L12" i="65140"/>
  <c r="L8" i="65140"/>
  <c r="L26" i="65123"/>
  <c r="K26" i="65123"/>
  <c r="L15" i="65123"/>
  <c r="K15" i="65123"/>
  <c r="L12" i="65123"/>
  <c r="L8" i="65123"/>
  <c r="L26" i="65099"/>
  <c r="K26" i="65099"/>
  <c r="L15" i="65099"/>
  <c r="K15" i="65099"/>
  <c r="L12" i="65099"/>
  <c r="L8" i="65099"/>
  <c r="L26" i="65067"/>
  <c r="K26" i="65067"/>
  <c r="L15" i="65067"/>
  <c r="K15" i="65067"/>
  <c r="L12" i="65067"/>
  <c r="L8" i="65067"/>
  <c r="K42" i="65065"/>
  <c r="K8" i="65065"/>
  <c r="K15" i="16"/>
  <c r="K33" i="65070" l="1"/>
  <c r="K52" i="65065"/>
  <c r="L33" i="65070"/>
  <c r="I31" i="65115"/>
  <c r="I32" i="65115" s="1"/>
  <c r="I31" i="65100"/>
  <c r="I31" i="65074"/>
  <c r="I31" i="65123"/>
  <c r="I31" i="65099"/>
  <c r="I31" i="65067"/>
  <c r="I31" i="65068"/>
  <c r="I31" i="65084"/>
  <c r="I31" i="65085"/>
  <c r="I31" i="65086"/>
  <c r="I31" i="65087"/>
  <c r="I31" i="65088"/>
  <c r="I31" i="65089"/>
  <c r="I31" i="65096"/>
  <c r="I32" i="65096" s="1"/>
  <c r="I33" i="65096" s="1"/>
  <c r="I31" i="65105"/>
  <c r="I32" i="65105" s="1"/>
  <c r="I33" i="65105" s="1"/>
  <c r="I32" i="65122"/>
  <c r="I31" i="65098"/>
  <c r="I32" i="65098" s="1"/>
  <c r="I33" i="65098" s="1"/>
  <c r="K31" i="65067"/>
  <c r="K31" i="65099"/>
  <c r="K31" i="65123"/>
  <c r="K31" i="65074"/>
  <c r="K31" i="65100"/>
  <c r="K31" i="65115"/>
  <c r="K31" i="65094"/>
  <c r="K31" i="65068"/>
  <c r="K31" i="65082"/>
  <c r="K31" i="65081"/>
  <c r="K31" i="65122"/>
  <c r="K31" i="65083"/>
  <c r="K31" i="65084"/>
  <c r="K31" i="65085"/>
  <c r="K31" i="65086"/>
  <c r="K31" i="65087"/>
  <c r="K31" i="65088"/>
  <c r="K31" i="65089"/>
  <c r="K31" i="65096"/>
  <c r="K31" i="65097"/>
  <c r="K31" i="65098"/>
  <c r="K31" i="65105"/>
  <c r="I32" i="65089" l="1"/>
  <c r="I78" i="300"/>
  <c r="H78" i="300"/>
  <c r="G78" i="300"/>
  <c r="F78" i="300"/>
  <c r="M30" i="65077"/>
  <c r="N30" i="65077" l="1"/>
  <c r="J78" i="300"/>
  <c r="K78" i="300" l="1"/>
  <c r="E63" i="65137"/>
  <c r="E62" i="65137"/>
  <c r="F55" i="300" l="1"/>
  <c r="G55" i="300"/>
  <c r="H55" i="300"/>
  <c r="I55" i="300"/>
  <c r="F47" i="300"/>
  <c r="F48" i="300"/>
  <c r="M31" i="65065"/>
  <c r="J47" i="300" s="1"/>
  <c r="F44" i="300"/>
  <c r="M26" i="65070"/>
  <c r="N26" i="65070" l="1"/>
  <c r="K47" i="300"/>
  <c r="I33" i="65070"/>
  <c r="N31" i="65065"/>
  <c r="I33" i="65089" l="1"/>
  <c r="K44" i="300"/>
  <c r="I32" i="16"/>
  <c r="I33" i="16" s="1"/>
  <c r="I34" i="16" s="1"/>
  <c r="E72" i="65137"/>
  <c r="E64" i="65137"/>
  <c r="E29" i="65137"/>
  <c r="H96" i="300"/>
  <c r="G96" i="300"/>
  <c r="F96" i="300"/>
  <c r="M33" i="65079"/>
  <c r="N33" i="65079" s="1"/>
  <c r="I49" i="65076" l="1"/>
  <c r="I50" i="65076" s="1"/>
  <c r="J96" i="300"/>
  <c r="K96" i="300" s="1"/>
  <c r="I96" i="300"/>
  <c r="I64" i="300"/>
  <c r="H64" i="300"/>
  <c r="G64" i="300"/>
  <c r="F64" i="300"/>
  <c r="N32" i="65140"/>
  <c r="N31" i="65140"/>
  <c r="N30" i="65140"/>
  <c r="M30" i="65140"/>
  <c r="N28" i="65140"/>
  <c r="M27" i="65140"/>
  <c r="J64" i="300" s="1"/>
  <c r="N25" i="65140"/>
  <c r="M24" i="65140"/>
  <c r="N23" i="65140"/>
  <c r="M23" i="65140"/>
  <c r="M22" i="65140"/>
  <c r="N22" i="65140" s="1"/>
  <c r="N21" i="65140"/>
  <c r="M21" i="65140"/>
  <c r="N20" i="65140"/>
  <c r="M20" i="65140"/>
  <c r="M19" i="65140"/>
  <c r="N19" i="65140" s="1"/>
  <c r="M18" i="65140"/>
  <c r="N17" i="65140"/>
  <c r="M17" i="65140"/>
  <c r="M16" i="65140"/>
  <c r="N14" i="65140"/>
  <c r="M13" i="65140"/>
  <c r="N11" i="65140"/>
  <c r="M10" i="65140"/>
  <c r="M9" i="65140"/>
  <c r="N24" i="65140" l="1"/>
  <c r="N18" i="65140"/>
  <c r="N16" i="65140"/>
  <c r="N13" i="65140"/>
  <c r="D10" i="65124"/>
  <c r="C10" i="65124"/>
  <c r="M26" i="65140"/>
  <c r="M29" i="65140"/>
  <c r="D12" i="65125" s="1"/>
  <c r="C12" i="65125" s="1"/>
  <c r="N27" i="65140"/>
  <c r="M15" i="65140"/>
  <c r="M12" i="65140"/>
  <c r="N12" i="65140" s="1"/>
  <c r="N10" i="65140"/>
  <c r="L34" i="65140"/>
  <c r="I34" i="65140"/>
  <c r="K34" i="65140"/>
  <c r="K32" i="65143" s="1"/>
  <c r="K33" i="65143" s="1"/>
  <c r="M8" i="65140"/>
  <c r="N9" i="65140"/>
  <c r="F10" i="65124" l="1"/>
  <c r="E10" i="65124"/>
  <c r="N8" i="65140"/>
  <c r="J10" i="65124"/>
  <c r="N29" i="65140"/>
  <c r="G10" i="65124"/>
  <c r="N26" i="65140"/>
  <c r="N15" i="65140"/>
  <c r="M34" i="65140"/>
  <c r="L10" i="65124" l="1"/>
  <c r="N34" i="65140"/>
  <c r="I97" i="300"/>
  <c r="H97" i="300"/>
  <c r="G97" i="300"/>
  <c r="F97" i="300"/>
  <c r="M34" i="65079"/>
  <c r="N31" i="65079"/>
  <c r="F43" i="300"/>
  <c r="M25" i="65070"/>
  <c r="J43" i="300" s="1"/>
  <c r="K64" i="300"/>
  <c r="N25" i="65070" l="1"/>
  <c r="K43" i="300"/>
  <c r="N34" i="65079"/>
  <c r="M32" i="65079"/>
  <c r="J97" i="300"/>
  <c r="K97" i="300" s="1"/>
  <c r="H24" i="65124" l="1"/>
  <c r="N32" i="65079"/>
  <c r="G112" i="300"/>
  <c r="H112" i="300"/>
  <c r="I112" i="300"/>
  <c r="F112" i="300"/>
  <c r="G111" i="300"/>
  <c r="H111" i="300"/>
  <c r="I111" i="300"/>
  <c r="F111" i="300"/>
  <c r="M34" i="65078"/>
  <c r="N34" i="65078" s="1"/>
  <c r="M33" i="65078"/>
  <c r="N33" i="65078" s="1"/>
  <c r="G99" i="300"/>
  <c r="H99" i="300"/>
  <c r="I99" i="300"/>
  <c r="F99" i="300"/>
  <c r="I40" i="65075"/>
  <c r="M33" i="65075"/>
  <c r="N30" i="65075"/>
  <c r="M28" i="65075"/>
  <c r="I81" i="300"/>
  <c r="I82" i="300"/>
  <c r="H82" i="300"/>
  <c r="H81" i="300"/>
  <c r="G82" i="300"/>
  <c r="G81" i="300"/>
  <c r="F82" i="300"/>
  <c r="F81" i="300"/>
  <c r="M39" i="65080"/>
  <c r="N39" i="65080" s="1"/>
  <c r="M38" i="65080"/>
  <c r="M29" i="65079"/>
  <c r="I105" i="300" l="1"/>
  <c r="G105" i="300"/>
  <c r="F105" i="300"/>
  <c r="H105" i="300"/>
  <c r="M31" i="65075"/>
  <c r="H20" i="65124" s="1"/>
  <c r="N33" i="65075"/>
  <c r="N28" i="65075"/>
  <c r="J55" i="300"/>
  <c r="K55" i="300" s="1"/>
  <c r="J82" i="300"/>
  <c r="F63" i="65137"/>
  <c r="N38" i="65080"/>
  <c r="F62" i="65137"/>
  <c r="J99" i="300"/>
  <c r="K99" i="300" s="1"/>
  <c r="J81" i="300"/>
  <c r="J112" i="300"/>
  <c r="J111" i="300"/>
  <c r="K112" i="300" l="1"/>
  <c r="K111" i="300"/>
  <c r="K82" i="300"/>
  <c r="N31" i="65075"/>
  <c r="K81" i="300"/>
  <c r="I41" i="65079"/>
  <c r="E32" i="65137" l="1"/>
  <c r="M27" i="65093" l="1"/>
  <c r="N27" i="65093" l="1"/>
  <c r="M9" i="65065"/>
  <c r="G94" i="300" l="1"/>
  <c r="G93" i="300" s="1"/>
  <c r="H94" i="300"/>
  <c r="H93" i="300" s="1"/>
  <c r="I94" i="300"/>
  <c r="I93" i="300" s="1"/>
  <c r="F94" i="300"/>
  <c r="F93" i="300" s="1"/>
  <c r="M28" i="16"/>
  <c r="M27" i="16"/>
  <c r="M24" i="16"/>
  <c r="M23" i="16"/>
  <c r="M22" i="16"/>
  <c r="M21" i="16"/>
  <c r="M20" i="16"/>
  <c r="M19" i="16"/>
  <c r="M18" i="16"/>
  <c r="M17" i="16"/>
  <c r="M16" i="16"/>
  <c r="M49" i="65065"/>
  <c r="J110" i="300" s="1"/>
  <c r="M48" i="65065"/>
  <c r="M47" i="65065"/>
  <c r="M43" i="65065"/>
  <c r="J94" i="300" s="1"/>
  <c r="J93" i="300" s="1"/>
  <c r="M39" i="65065"/>
  <c r="M38" i="65065"/>
  <c r="M37" i="65065"/>
  <c r="M36" i="65065"/>
  <c r="M35" i="65065"/>
  <c r="M32" i="65065"/>
  <c r="M30" i="65065"/>
  <c r="M29" i="65065"/>
  <c r="M28" i="65065"/>
  <c r="M27" i="65065"/>
  <c r="M26" i="65065"/>
  <c r="M25" i="65065"/>
  <c r="M24" i="65065"/>
  <c r="M23" i="65065"/>
  <c r="M22" i="65065"/>
  <c r="M16" i="65065"/>
  <c r="J19" i="300" s="1"/>
  <c r="M11" i="65065"/>
  <c r="M10" i="65065"/>
  <c r="M28" i="65067"/>
  <c r="M27" i="65067"/>
  <c r="M24" i="65067"/>
  <c r="M23" i="65067"/>
  <c r="M22" i="65067"/>
  <c r="M21" i="65067"/>
  <c r="M20" i="65067"/>
  <c r="M19" i="65067"/>
  <c r="M18" i="65067"/>
  <c r="M17" i="65067"/>
  <c r="M16" i="65067"/>
  <c r="M28" i="65099"/>
  <c r="M27" i="65099"/>
  <c r="M24" i="65099"/>
  <c r="M23" i="65099"/>
  <c r="M22" i="65099"/>
  <c r="M21" i="65099"/>
  <c r="M20" i="65099"/>
  <c r="M19" i="65099"/>
  <c r="M18" i="65099"/>
  <c r="M17" i="65099"/>
  <c r="M16" i="65099"/>
  <c r="M28" i="65123"/>
  <c r="M27" i="65123"/>
  <c r="M24" i="65123"/>
  <c r="M23" i="65123"/>
  <c r="M22" i="65123"/>
  <c r="M21" i="65123"/>
  <c r="M20" i="65123"/>
  <c r="M19" i="65123"/>
  <c r="M18" i="65123"/>
  <c r="M17" i="65123"/>
  <c r="M16" i="65123"/>
  <c r="M28" i="65068"/>
  <c r="M27" i="65068"/>
  <c r="M24" i="65068"/>
  <c r="M23" i="65068"/>
  <c r="M22" i="65068"/>
  <c r="M21" i="65068"/>
  <c r="M20" i="65068"/>
  <c r="M19" i="65068"/>
  <c r="M18" i="65068"/>
  <c r="M17" i="65068"/>
  <c r="M16" i="65068"/>
  <c r="M30" i="65069"/>
  <c r="M29" i="65069"/>
  <c r="M26" i="65069"/>
  <c r="M25" i="65069"/>
  <c r="M24" i="65069"/>
  <c r="M23" i="65069"/>
  <c r="M22" i="65069"/>
  <c r="M21" i="65069"/>
  <c r="M20" i="65069"/>
  <c r="M19" i="65069"/>
  <c r="M18" i="65069"/>
  <c r="M30" i="65070"/>
  <c r="M29" i="65070"/>
  <c r="M24" i="65070"/>
  <c r="M23" i="65070"/>
  <c r="M22" i="65070"/>
  <c r="M21" i="65070"/>
  <c r="M20" i="65070"/>
  <c r="M19" i="65070"/>
  <c r="M18" i="65070"/>
  <c r="M17" i="65070"/>
  <c r="M16" i="65070"/>
  <c r="M29" i="65071"/>
  <c r="M28" i="65071"/>
  <c r="M24" i="65071"/>
  <c r="M23" i="65071"/>
  <c r="M22" i="65071"/>
  <c r="M21" i="65071"/>
  <c r="M20" i="65071"/>
  <c r="M19" i="65071"/>
  <c r="M18" i="65071"/>
  <c r="M17" i="65071"/>
  <c r="M16" i="65071"/>
  <c r="M28" i="65074"/>
  <c r="M27" i="65074"/>
  <c r="M24" i="65074"/>
  <c r="M23" i="65074"/>
  <c r="M22" i="65074"/>
  <c r="M21" i="65074"/>
  <c r="M20" i="65074"/>
  <c r="M19" i="65074"/>
  <c r="M18" i="65074"/>
  <c r="M17" i="65074"/>
  <c r="M16" i="65074"/>
  <c r="M28" i="65100"/>
  <c r="M27" i="65100"/>
  <c r="M24" i="65100"/>
  <c r="M23" i="65100"/>
  <c r="M22" i="65100"/>
  <c r="M21" i="65100"/>
  <c r="M20" i="65100"/>
  <c r="M19" i="65100"/>
  <c r="M18" i="65100"/>
  <c r="M17" i="65100"/>
  <c r="M16" i="65100"/>
  <c r="M28" i="65115"/>
  <c r="M27" i="65115"/>
  <c r="M24" i="65115"/>
  <c r="M23" i="65115"/>
  <c r="M22" i="65115"/>
  <c r="M21" i="65115"/>
  <c r="M20" i="65115"/>
  <c r="M19" i="65115"/>
  <c r="M18" i="65115"/>
  <c r="M17" i="65115"/>
  <c r="M16" i="65115"/>
  <c r="M37" i="65075"/>
  <c r="M36" i="65075"/>
  <c r="M29" i="65075"/>
  <c r="M27" i="65075" s="1"/>
  <c r="M25" i="65075"/>
  <c r="M24" i="65075"/>
  <c r="M23" i="65075"/>
  <c r="M22" i="65075"/>
  <c r="M21" i="65075"/>
  <c r="M20" i="65075"/>
  <c r="M19" i="65075"/>
  <c r="M18" i="65075"/>
  <c r="M17" i="65075"/>
  <c r="M16" i="65075"/>
  <c r="M45" i="65076"/>
  <c r="M44" i="65076"/>
  <c r="M41" i="65076"/>
  <c r="M40" i="65076"/>
  <c r="M37" i="65076"/>
  <c r="M36" i="65076"/>
  <c r="M33" i="65076"/>
  <c r="M32" i="65076"/>
  <c r="M25" i="65076"/>
  <c r="M24" i="65076"/>
  <c r="M23" i="65076"/>
  <c r="M20" i="65076"/>
  <c r="M19" i="65076"/>
  <c r="N20" i="65076"/>
  <c r="N23" i="65076"/>
  <c r="N24" i="65076"/>
  <c r="N25" i="65076"/>
  <c r="M9" i="65076"/>
  <c r="M34" i="65077"/>
  <c r="M33" i="65077"/>
  <c r="M29" i="65077"/>
  <c r="M28" i="65077"/>
  <c r="M27" i="65077"/>
  <c r="M24" i="65077"/>
  <c r="M23" i="65077"/>
  <c r="M22" i="65077"/>
  <c r="M21" i="65077"/>
  <c r="M20" i="65077"/>
  <c r="M19" i="65077"/>
  <c r="M18" i="65077"/>
  <c r="M17" i="65077"/>
  <c r="M16" i="65077"/>
  <c r="M32" i="65078"/>
  <c r="M28" i="65078"/>
  <c r="M27" i="65078" s="1"/>
  <c r="M25" i="65078"/>
  <c r="M24" i="65078"/>
  <c r="M22" i="65078"/>
  <c r="M21" i="65078"/>
  <c r="M20" i="65078"/>
  <c r="M19" i="65078"/>
  <c r="M18" i="65078"/>
  <c r="M17" i="65078"/>
  <c r="M16" i="65078"/>
  <c r="M38" i="65079"/>
  <c r="M37" i="65079"/>
  <c r="M30" i="65079"/>
  <c r="M28" i="65079"/>
  <c r="M27" i="65079"/>
  <c r="M24" i="65079"/>
  <c r="M23" i="65079"/>
  <c r="M22" i="65079"/>
  <c r="M21" i="65079"/>
  <c r="M20" i="65079"/>
  <c r="M19" i="65079"/>
  <c r="M18" i="65079"/>
  <c r="M17" i="65079"/>
  <c r="M16" i="65079"/>
  <c r="M46" i="65080"/>
  <c r="M45" i="65080"/>
  <c r="M37" i="65080"/>
  <c r="F65" i="65137" s="1"/>
  <c r="M36" i="65080"/>
  <c r="M33" i="65080"/>
  <c r="M31" i="65080"/>
  <c r="M27" i="65080"/>
  <c r="M26" i="65080"/>
  <c r="M25" i="65080"/>
  <c r="M24" i="65080"/>
  <c r="M23" i="65080"/>
  <c r="M22" i="65080"/>
  <c r="M21" i="65080"/>
  <c r="M19" i="65080"/>
  <c r="M18" i="65080"/>
  <c r="M17" i="65080"/>
  <c r="M16" i="65080"/>
  <c r="M28" i="65082"/>
  <c r="M27" i="65082"/>
  <c r="M24" i="65082"/>
  <c r="M23" i="65082"/>
  <c r="M22" i="65082"/>
  <c r="M21" i="65082"/>
  <c r="M20" i="65082"/>
  <c r="M19" i="65082"/>
  <c r="M18" i="65082"/>
  <c r="M17" i="65082"/>
  <c r="M16" i="65082"/>
  <c r="M28" i="65081"/>
  <c r="M27" i="65081"/>
  <c r="M24" i="65081"/>
  <c r="M23" i="65081"/>
  <c r="M22" i="65081"/>
  <c r="M21" i="65081"/>
  <c r="M20" i="65081"/>
  <c r="M19" i="65081"/>
  <c r="M18" i="65081"/>
  <c r="M17" i="65081"/>
  <c r="M16" i="65081"/>
  <c r="M28" i="65122"/>
  <c r="M27" i="65122"/>
  <c r="M24" i="65122"/>
  <c r="M23" i="65122"/>
  <c r="M22" i="65122"/>
  <c r="M21" i="65122"/>
  <c r="M20" i="65122"/>
  <c r="M19" i="65122"/>
  <c r="M18" i="65122"/>
  <c r="M17" i="65122"/>
  <c r="M16" i="65122"/>
  <c r="M28" i="65083"/>
  <c r="M27" i="65083"/>
  <c r="M24" i="65083"/>
  <c r="M23" i="65083"/>
  <c r="M22" i="65083"/>
  <c r="M21" i="65083"/>
  <c r="M20" i="65083"/>
  <c r="M19" i="65083"/>
  <c r="M18" i="65083"/>
  <c r="M17" i="65083"/>
  <c r="M16" i="65083"/>
  <c r="M28" i="65084"/>
  <c r="M27" i="65084"/>
  <c r="M24" i="65084"/>
  <c r="M23" i="65084"/>
  <c r="M22" i="65084"/>
  <c r="M21" i="65084"/>
  <c r="M20" i="65084"/>
  <c r="M19" i="65084"/>
  <c r="M18" i="65084"/>
  <c r="M17" i="65084"/>
  <c r="M16" i="65084"/>
  <c r="M28" i="65085"/>
  <c r="M27" i="65085"/>
  <c r="M23" i="65085"/>
  <c r="M22" i="65085"/>
  <c r="M21" i="65085"/>
  <c r="M20" i="65085"/>
  <c r="M19" i="65085"/>
  <c r="M18" i="65085"/>
  <c r="M17" i="65085"/>
  <c r="M16" i="65085"/>
  <c r="M28" i="65086"/>
  <c r="M27" i="65086"/>
  <c r="M24" i="65086"/>
  <c r="M23" i="65086"/>
  <c r="M22" i="65086"/>
  <c r="M21" i="65086"/>
  <c r="M20" i="65086"/>
  <c r="M19" i="65086"/>
  <c r="M18" i="65086"/>
  <c r="M17" i="65086"/>
  <c r="M16" i="65086"/>
  <c r="M28" i="65087"/>
  <c r="M27" i="65087"/>
  <c r="M24" i="65087"/>
  <c r="M23" i="65087"/>
  <c r="M22" i="65087"/>
  <c r="M21" i="65087"/>
  <c r="M20" i="65087"/>
  <c r="M19" i="65087"/>
  <c r="M18" i="65087"/>
  <c r="M17" i="65087"/>
  <c r="M16" i="65087"/>
  <c r="M28" i="65088"/>
  <c r="M27" i="65088"/>
  <c r="M24" i="65088"/>
  <c r="M23" i="65088"/>
  <c r="M22" i="65088"/>
  <c r="M21" i="65088"/>
  <c r="M20" i="65088"/>
  <c r="M19" i="65088"/>
  <c r="M18" i="65088"/>
  <c r="M17" i="65088"/>
  <c r="M16" i="65088"/>
  <c r="M28" i="65089"/>
  <c r="M27" i="65089"/>
  <c r="M24" i="65089"/>
  <c r="M23" i="65089"/>
  <c r="M22" i="65089"/>
  <c r="M21" i="65089"/>
  <c r="M20" i="65089"/>
  <c r="M19" i="65089"/>
  <c r="M18" i="65089"/>
  <c r="M17" i="65089"/>
  <c r="M16" i="65089"/>
  <c r="M31" i="65093"/>
  <c r="M24" i="65093"/>
  <c r="M23" i="65093"/>
  <c r="M22" i="65093"/>
  <c r="M21" i="65093"/>
  <c r="J34" i="300" s="1"/>
  <c r="M20" i="65093"/>
  <c r="J33" i="300" s="1"/>
  <c r="M19" i="65093"/>
  <c r="J31" i="300" s="1"/>
  <c r="J30" i="300" s="1"/>
  <c r="M18" i="65093"/>
  <c r="M17" i="65093"/>
  <c r="J28" i="300" s="1"/>
  <c r="M16" i="65093"/>
  <c r="J27" i="300" s="1"/>
  <c r="M28" i="65094"/>
  <c r="M27" i="65094"/>
  <c r="M24" i="65094"/>
  <c r="M23" i="65094"/>
  <c r="M22" i="65094"/>
  <c r="M21" i="65094"/>
  <c r="M20" i="65094"/>
  <c r="M19" i="65094"/>
  <c r="M18" i="65094"/>
  <c r="M17" i="65094"/>
  <c r="M16" i="65094"/>
  <c r="M32" i="65095"/>
  <c r="M28" i="65095"/>
  <c r="M26" i="65095" s="1"/>
  <c r="M24" i="65095"/>
  <c r="M23" i="65095"/>
  <c r="M22" i="65095"/>
  <c r="M21" i="65095"/>
  <c r="M20" i="65095"/>
  <c r="M19" i="65095"/>
  <c r="M18" i="65095"/>
  <c r="M17" i="65095"/>
  <c r="M16" i="65095"/>
  <c r="M28" i="65096"/>
  <c r="M27" i="65096"/>
  <c r="M24" i="65096"/>
  <c r="M23" i="65096"/>
  <c r="M22" i="65096"/>
  <c r="M21" i="65096"/>
  <c r="M20" i="65096"/>
  <c r="M19" i="65096"/>
  <c r="M18" i="65096"/>
  <c r="M17" i="65096"/>
  <c r="M16" i="65096"/>
  <c r="M28" i="65097"/>
  <c r="M27" i="65097"/>
  <c r="M24" i="65097"/>
  <c r="M23" i="65097"/>
  <c r="M22" i="65097"/>
  <c r="M21" i="65097"/>
  <c r="M20" i="65097"/>
  <c r="M19" i="65097"/>
  <c r="M18" i="65097"/>
  <c r="M17" i="65097"/>
  <c r="M16" i="65097"/>
  <c r="M28" i="65098"/>
  <c r="M27" i="65098"/>
  <c r="M24" i="65098"/>
  <c r="M23" i="65098"/>
  <c r="M22" i="65098"/>
  <c r="M21" i="65098"/>
  <c r="M20" i="65098"/>
  <c r="M19" i="65098"/>
  <c r="M18" i="65098"/>
  <c r="M17" i="65098"/>
  <c r="M16" i="65098"/>
  <c r="M28" i="65105"/>
  <c r="M27" i="65105"/>
  <c r="M24" i="65105"/>
  <c r="M23" i="65105"/>
  <c r="M22" i="65105"/>
  <c r="M21" i="65105"/>
  <c r="M20" i="65105"/>
  <c r="M19" i="65105"/>
  <c r="M18" i="65105"/>
  <c r="M17" i="65105"/>
  <c r="M16" i="65105"/>
  <c r="N12" i="65065"/>
  <c r="N17" i="65065"/>
  <c r="N20" i="65065"/>
  <c r="N33" i="65065"/>
  <c r="N41" i="65065"/>
  <c r="N44" i="65065"/>
  <c r="H116" i="300"/>
  <c r="H115" i="300"/>
  <c r="H103" i="300"/>
  <c r="H102" i="300"/>
  <c r="H91" i="300"/>
  <c r="H90" i="300"/>
  <c r="H88" i="300"/>
  <c r="H87" i="300"/>
  <c r="H86" i="300"/>
  <c r="H85" i="300"/>
  <c r="H80" i="300"/>
  <c r="H72" i="300" s="1"/>
  <c r="H79" i="300"/>
  <c r="H77" i="300"/>
  <c r="H76" i="300"/>
  <c r="H75" i="300"/>
  <c r="H73" i="300"/>
  <c r="H71" i="300"/>
  <c r="H67" i="300"/>
  <c r="H66" i="300"/>
  <c r="H65" i="300"/>
  <c r="H61" i="300"/>
  <c r="H60" i="300"/>
  <c r="H59" i="300"/>
  <c r="H58" i="300"/>
  <c r="H57" i="300"/>
  <c r="H56" i="300"/>
  <c r="H54" i="300"/>
  <c r="H13" i="300"/>
  <c r="H12" i="300"/>
  <c r="H11" i="300"/>
  <c r="H10" i="300"/>
  <c r="I116" i="300"/>
  <c r="I115" i="300"/>
  <c r="I103" i="300"/>
  <c r="I102" i="300"/>
  <c r="I91" i="300"/>
  <c r="I90" i="300"/>
  <c r="I88" i="300"/>
  <c r="I87" i="300"/>
  <c r="I86" i="300"/>
  <c r="I85" i="300"/>
  <c r="I80" i="300"/>
  <c r="I79" i="300"/>
  <c r="I77" i="300"/>
  <c r="I76" i="300"/>
  <c r="I75" i="300"/>
  <c r="I73" i="300"/>
  <c r="I71" i="300"/>
  <c r="I67" i="300"/>
  <c r="I66" i="300"/>
  <c r="I65" i="300"/>
  <c r="I61" i="300"/>
  <c r="I60" i="300"/>
  <c r="I59" i="300"/>
  <c r="I58" i="300"/>
  <c r="I57" i="300"/>
  <c r="I56" i="300"/>
  <c r="I54" i="300"/>
  <c r="I13" i="300"/>
  <c r="I12" i="300"/>
  <c r="I11" i="300"/>
  <c r="I10" i="300"/>
  <c r="M19" i="65065"/>
  <c r="M15" i="65065"/>
  <c r="M14" i="65065"/>
  <c r="M13" i="65067"/>
  <c r="M10" i="65067"/>
  <c r="D7" i="65124" s="1"/>
  <c r="M13" i="65099"/>
  <c r="M10" i="65099"/>
  <c r="D8" i="65124" s="1"/>
  <c r="M13" i="65123"/>
  <c r="M10" i="65123"/>
  <c r="D9" i="65124" s="1"/>
  <c r="M13" i="65068"/>
  <c r="M10" i="65068"/>
  <c r="D12" i="65124" s="1"/>
  <c r="M13" i="65069"/>
  <c r="M12" i="65069" s="1"/>
  <c r="M10" i="65069"/>
  <c r="D13" i="65124" s="1"/>
  <c r="M13" i="65070"/>
  <c r="M10" i="65070"/>
  <c r="D14" i="65124" s="1"/>
  <c r="M13" i="65071"/>
  <c r="M10" i="65071"/>
  <c r="D15" i="65124" s="1"/>
  <c r="M13" i="65074"/>
  <c r="M10" i="65074"/>
  <c r="D16" i="65124" s="1"/>
  <c r="M13" i="65100"/>
  <c r="M10" i="65100"/>
  <c r="D17" i="65124" s="1"/>
  <c r="M13" i="65115"/>
  <c r="M10" i="65115"/>
  <c r="D18" i="65124" s="1"/>
  <c r="M13" i="65075"/>
  <c r="M12" i="65075" s="1"/>
  <c r="M10" i="65075"/>
  <c r="D20" i="65124" s="1"/>
  <c r="M28" i="65076"/>
  <c r="M27" i="65076"/>
  <c r="M26" i="65076"/>
  <c r="M21" i="65076"/>
  <c r="M16" i="65076"/>
  <c r="M13" i="65076"/>
  <c r="D21" i="65124" s="1"/>
  <c r="M13" i="65077"/>
  <c r="M10" i="65077"/>
  <c r="D22" i="65124" s="1"/>
  <c r="M13" i="65078"/>
  <c r="M10" i="65078"/>
  <c r="D23" i="65124" s="1"/>
  <c r="M13" i="65079"/>
  <c r="M10" i="65079"/>
  <c r="D24" i="65124" s="1"/>
  <c r="M13" i="65080"/>
  <c r="M10" i="65080"/>
  <c r="D25" i="65124" s="1"/>
  <c r="M13" i="65082"/>
  <c r="M10" i="65082"/>
  <c r="D26" i="65124" s="1"/>
  <c r="M13" i="65081"/>
  <c r="M10" i="65081"/>
  <c r="D27" i="65124" s="1"/>
  <c r="M13" i="65122"/>
  <c r="M10" i="65122"/>
  <c r="D28" i="65124" s="1"/>
  <c r="M13" i="65083"/>
  <c r="M10" i="65083"/>
  <c r="D29" i="65124" s="1"/>
  <c r="M13" i="65084"/>
  <c r="M10" i="65084"/>
  <c r="D30" i="65124" s="1"/>
  <c r="M13" i="65085"/>
  <c r="M10" i="65085"/>
  <c r="D31" i="65124" s="1"/>
  <c r="M13" i="65086"/>
  <c r="M10" i="65086"/>
  <c r="D32" i="65124" s="1"/>
  <c r="M13" i="65087"/>
  <c r="M10" i="65087"/>
  <c r="D33" i="65124" s="1"/>
  <c r="M13" i="65088"/>
  <c r="M10" i="65088"/>
  <c r="D34" i="65124" s="1"/>
  <c r="M13" i="65089"/>
  <c r="M10" i="65089"/>
  <c r="D35" i="65124" s="1"/>
  <c r="M13" i="65093"/>
  <c r="M10" i="65093"/>
  <c r="D36" i="65124" s="1"/>
  <c r="M13" i="65094"/>
  <c r="M10" i="65094"/>
  <c r="D37" i="65124" s="1"/>
  <c r="M13" i="65095"/>
  <c r="M10" i="65095"/>
  <c r="D38" i="65124" s="1"/>
  <c r="M13" i="65096"/>
  <c r="M10" i="65096"/>
  <c r="D39" i="65124" s="1"/>
  <c r="M13" i="65097"/>
  <c r="M10" i="65097"/>
  <c r="D40" i="65124" s="1"/>
  <c r="M13" i="65098"/>
  <c r="M10" i="65098"/>
  <c r="D41" i="65124" s="1"/>
  <c r="M13" i="65105"/>
  <c r="M10" i="65105"/>
  <c r="D42" i="65124" s="1"/>
  <c r="M13" i="16"/>
  <c r="M10" i="16"/>
  <c r="L42" i="65065"/>
  <c r="L21" i="65065"/>
  <c r="L18" i="65065"/>
  <c r="L8" i="65065"/>
  <c r="L15" i="16"/>
  <c r="L12" i="16"/>
  <c r="L8" i="16"/>
  <c r="J107" i="300" l="1"/>
  <c r="J108" i="300"/>
  <c r="J42" i="300"/>
  <c r="J41" i="300" s="1"/>
  <c r="J36" i="300"/>
  <c r="J35" i="300" s="1"/>
  <c r="J39" i="300"/>
  <c r="J38" i="300" s="1"/>
  <c r="J29" i="300"/>
  <c r="J22" i="300"/>
  <c r="J21" i="300" s="1"/>
  <c r="D5" i="65124"/>
  <c r="J18" i="300"/>
  <c r="M45" i="65065"/>
  <c r="I53" i="300"/>
  <c r="H53" i="300"/>
  <c r="M30" i="65080"/>
  <c r="M15" i="65080"/>
  <c r="M34" i="65065"/>
  <c r="M15" i="65075"/>
  <c r="F64" i="65137"/>
  <c r="N28" i="65077"/>
  <c r="N27" i="65076"/>
  <c r="N26" i="65076"/>
  <c r="N21" i="65076"/>
  <c r="N19" i="65076"/>
  <c r="N28" i="65076"/>
  <c r="M26" i="16"/>
  <c r="L40" i="65075"/>
  <c r="L41" i="65075" s="1"/>
  <c r="L42" i="65075" s="1"/>
  <c r="N29" i="65077"/>
  <c r="M26" i="65077"/>
  <c r="K35" i="65093"/>
  <c r="K40" i="65075"/>
  <c r="K41" i="65075" s="1"/>
  <c r="K42" i="65075" s="1"/>
  <c r="F72" i="65137"/>
  <c r="L41" i="65079"/>
  <c r="L42" i="65079" s="1"/>
  <c r="L43" i="65079" s="1"/>
  <c r="M26" i="65074"/>
  <c r="K41" i="65079"/>
  <c r="K42" i="65079" s="1"/>
  <c r="K43" i="65079" s="1"/>
  <c r="H84" i="300"/>
  <c r="I63" i="300"/>
  <c r="I84" i="300"/>
  <c r="I89" i="300"/>
  <c r="H89" i="300"/>
  <c r="H63" i="300"/>
  <c r="M30" i="65078"/>
  <c r="K32" i="65094"/>
  <c r="K33" i="65094" s="1"/>
  <c r="I114" i="300"/>
  <c r="K32" i="65068"/>
  <c r="K33" i="65068" s="1"/>
  <c r="K32" i="65071"/>
  <c r="K33" i="65071" s="1"/>
  <c r="K33" i="65069"/>
  <c r="K34" i="65069" s="1"/>
  <c r="K35" i="65069" s="1"/>
  <c r="K37" i="65077"/>
  <c r="K38" i="65077" s="1"/>
  <c r="K39" i="65077" s="1"/>
  <c r="M9" i="65089"/>
  <c r="M9" i="65088"/>
  <c r="M9" i="65087"/>
  <c r="M9" i="65086"/>
  <c r="M9" i="65085"/>
  <c r="M9" i="65084"/>
  <c r="M9" i="65083"/>
  <c r="M9" i="65122"/>
  <c r="M12" i="65076"/>
  <c r="M22" i="65076"/>
  <c r="M9" i="65105"/>
  <c r="M9" i="65098"/>
  <c r="M9" i="65097"/>
  <c r="M9" i="65096"/>
  <c r="M9" i="65095"/>
  <c r="M9" i="65094"/>
  <c r="M9" i="65093"/>
  <c r="M9" i="65081"/>
  <c r="M9" i="65082"/>
  <c r="M9" i="65079"/>
  <c r="M9" i="65078"/>
  <c r="M9" i="65077"/>
  <c r="M9" i="65075"/>
  <c r="M8" i="65075" s="1"/>
  <c r="M9" i="65115"/>
  <c r="M9" i="65100"/>
  <c r="M9" i="65074"/>
  <c r="M9" i="65071"/>
  <c r="M9" i="65070"/>
  <c r="M9" i="65069"/>
  <c r="M9" i="65068"/>
  <c r="M9" i="65123"/>
  <c r="M9" i="65099"/>
  <c r="M9" i="65067"/>
  <c r="M9" i="16"/>
  <c r="H114" i="300"/>
  <c r="H17" i="300"/>
  <c r="M9" i="65080"/>
  <c r="L31" i="65105"/>
  <c r="L32" i="65105" s="1"/>
  <c r="L33" i="65105" s="1"/>
  <c r="L31" i="65098"/>
  <c r="L32" i="65098" s="1"/>
  <c r="L33" i="65098" s="1"/>
  <c r="L31" i="65097"/>
  <c r="L32" i="65097" s="1"/>
  <c r="L33" i="65097" s="1"/>
  <c r="L31" i="65096"/>
  <c r="L32" i="65096" s="1"/>
  <c r="L33" i="65096" s="1"/>
  <c r="L36" i="65095"/>
  <c r="L37" i="65095" s="1"/>
  <c r="L38" i="65095" s="1"/>
  <c r="L31" i="65094"/>
  <c r="L32" i="65094" s="1"/>
  <c r="L33" i="65094" s="1"/>
  <c r="L35" i="65093"/>
  <c r="L31" i="65089"/>
  <c r="L31" i="65088"/>
  <c r="L31" i="65087"/>
  <c r="L31" i="65086"/>
  <c r="L31" i="65085"/>
  <c r="L31" i="65084"/>
  <c r="L31" i="65083"/>
  <c r="L31" i="65122"/>
  <c r="L31" i="65081"/>
  <c r="L31" i="65082"/>
  <c r="L37" i="65078"/>
  <c r="L38" i="65078" s="1"/>
  <c r="L39" i="65078" s="1"/>
  <c r="L37" i="65077"/>
  <c r="L31" i="65115"/>
  <c r="L32" i="65115" s="1"/>
  <c r="L31" i="65100"/>
  <c r="L31" i="65074"/>
  <c r="L32" i="65071"/>
  <c r="L33" i="65071" s="1"/>
  <c r="L33" i="65069"/>
  <c r="L34" i="65069" s="1"/>
  <c r="L35" i="65069" s="1"/>
  <c r="L31" i="65068"/>
  <c r="L32" i="65068" s="1"/>
  <c r="L33" i="65068" s="1"/>
  <c r="L31" i="65123"/>
  <c r="L31" i="65099"/>
  <c r="L31" i="65067"/>
  <c r="L13" i="65065"/>
  <c r="L52" i="65065" s="1"/>
  <c r="I9" i="300"/>
  <c r="H9" i="300"/>
  <c r="L32" i="16"/>
  <c r="L33" i="16" s="1"/>
  <c r="L34" i="16" s="1"/>
  <c r="H101" i="300"/>
  <c r="I15" i="300"/>
  <c r="I101" i="300"/>
  <c r="L36" i="65093" l="1"/>
  <c r="L37" i="65093" s="1"/>
  <c r="I119" i="300"/>
  <c r="K36" i="65093"/>
  <c r="K37" i="65093" s="1"/>
  <c r="H119" i="300"/>
  <c r="J16" i="300"/>
  <c r="L35" i="65140"/>
  <c r="L36" i="65140" s="1"/>
  <c r="J105" i="300"/>
  <c r="J17" i="300"/>
  <c r="N22" i="65076"/>
  <c r="L38" i="65077"/>
  <c r="L39" i="65077" s="1"/>
  <c r="L32" i="65122"/>
  <c r="L32" i="65100"/>
  <c r="L33" i="65141" s="1"/>
  <c r="K32" i="65105"/>
  <c r="K33" i="65105" s="1"/>
  <c r="K36" i="65095"/>
  <c r="K37" i="65095" s="1"/>
  <c r="K38" i="65095" s="1"/>
  <c r="K32" i="65115"/>
  <c r="K32" i="65097"/>
  <c r="K33" i="65097" s="1"/>
  <c r="K37" i="65078"/>
  <c r="K38" i="65078" s="1"/>
  <c r="K39" i="65078" s="1"/>
  <c r="L32" i="65089"/>
  <c r="K32" i="16"/>
  <c r="K32" i="65098"/>
  <c r="K33" i="65098" s="1"/>
  <c r="H15" i="300"/>
  <c r="K32" i="65096"/>
  <c r="K33" i="65096" s="1"/>
  <c r="I52" i="300"/>
  <c r="H52" i="300"/>
  <c r="K33" i="16" l="1"/>
  <c r="K34" i="16" s="1"/>
  <c r="L33" i="65089"/>
  <c r="J26" i="300"/>
  <c r="K16" i="300"/>
  <c r="K32" i="65100"/>
  <c r="K33" i="65141" s="1"/>
  <c r="K32" i="65089"/>
  <c r="H7" i="300"/>
  <c r="I7" i="300"/>
  <c r="K32" i="65122"/>
  <c r="G65" i="300"/>
  <c r="J65" i="300"/>
  <c r="G66" i="300"/>
  <c r="J66" i="300"/>
  <c r="F66" i="300"/>
  <c r="F65" i="300"/>
  <c r="I33" i="65069"/>
  <c r="I32" i="65071"/>
  <c r="I33" i="65071" s="1"/>
  <c r="I41" i="65075"/>
  <c r="I42" i="65075" s="1"/>
  <c r="I37" i="65078"/>
  <c r="I38" i="65078" s="1"/>
  <c r="I39" i="65078" s="1"/>
  <c r="E15" i="304"/>
  <c r="D19" i="304"/>
  <c r="D34" i="304"/>
  <c r="K14" i="300"/>
  <c r="K20" i="300"/>
  <c r="K25" i="300"/>
  <c r="K51" i="300"/>
  <c r="K92" i="300"/>
  <c r="K100" i="300"/>
  <c r="K104" i="300"/>
  <c r="K113" i="300"/>
  <c r="K117" i="300"/>
  <c r="N31" i="65095"/>
  <c r="N32" i="65095"/>
  <c r="N34" i="65095"/>
  <c r="N33" i="65093"/>
  <c r="N33" i="65080"/>
  <c r="N36" i="65080"/>
  <c r="N37" i="65080"/>
  <c r="N43" i="65080"/>
  <c r="N45" i="65080"/>
  <c r="N46" i="65080"/>
  <c r="N47" i="65080"/>
  <c r="N27" i="65079"/>
  <c r="N28" i="65079"/>
  <c r="N29" i="65079"/>
  <c r="N30" i="65079"/>
  <c r="N35" i="65079"/>
  <c r="N37" i="65079"/>
  <c r="N38" i="65079"/>
  <c r="N39" i="65079"/>
  <c r="N31" i="65078"/>
  <c r="N32" i="65078"/>
  <c r="N35" i="65078"/>
  <c r="N31" i="65077"/>
  <c r="N33" i="65077"/>
  <c r="N34" i="65077"/>
  <c r="N35" i="65077"/>
  <c r="N33" i="65076"/>
  <c r="N36" i="65076"/>
  <c r="N37" i="65076"/>
  <c r="N38" i="65076"/>
  <c r="N40" i="65076"/>
  <c r="N41" i="65076"/>
  <c r="N42" i="65076"/>
  <c r="N44" i="65076"/>
  <c r="N45" i="65076"/>
  <c r="N46" i="65076"/>
  <c r="N35" i="65065"/>
  <c r="N36" i="65065"/>
  <c r="N37" i="65065"/>
  <c r="N38" i="65065"/>
  <c r="N39" i="65065"/>
  <c r="N43" i="65065"/>
  <c r="N47" i="65065"/>
  <c r="N48" i="65065"/>
  <c r="N49" i="65065"/>
  <c r="N50" i="65065"/>
  <c r="N31" i="65093"/>
  <c r="N29" i="65122"/>
  <c r="N29" i="65078"/>
  <c r="N30" i="65071"/>
  <c r="N32" i="65067"/>
  <c r="N33" i="65067"/>
  <c r="N32" i="65099"/>
  <c r="N33" i="65099"/>
  <c r="N34" i="65070"/>
  <c r="N35" i="65070"/>
  <c r="N33" i="65074"/>
  <c r="N37" i="65075"/>
  <c r="N38" i="65075"/>
  <c r="N32" i="65076"/>
  <c r="N32" i="65082"/>
  <c r="N33" i="65082"/>
  <c r="N32" i="65081"/>
  <c r="N33" i="65081"/>
  <c r="N32" i="65083"/>
  <c r="N33" i="65083"/>
  <c r="N32" i="65084"/>
  <c r="N33" i="65084"/>
  <c r="N32" i="65085"/>
  <c r="N33" i="65085"/>
  <c r="N32" i="65086"/>
  <c r="N33" i="65086"/>
  <c r="N32" i="65087"/>
  <c r="N33" i="65087"/>
  <c r="N32" i="65088"/>
  <c r="N33" i="65088"/>
  <c r="N10" i="65065"/>
  <c r="N11" i="65065"/>
  <c r="N22" i="65065"/>
  <c r="N23" i="65065"/>
  <c r="N24" i="65065"/>
  <c r="N25" i="65065"/>
  <c r="N26" i="65065"/>
  <c r="N27" i="65065"/>
  <c r="N28" i="65065"/>
  <c r="N29" i="65065"/>
  <c r="N30" i="65065"/>
  <c r="N10" i="65067"/>
  <c r="N11" i="65067"/>
  <c r="N13" i="65067"/>
  <c r="N14" i="65067"/>
  <c r="N16" i="65067"/>
  <c r="N17" i="65067"/>
  <c r="N18" i="65067"/>
  <c r="N19" i="65067"/>
  <c r="N20" i="65067"/>
  <c r="N21" i="65067"/>
  <c r="N22" i="65067"/>
  <c r="N23" i="65067"/>
  <c r="N24" i="65067"/>
  <c r="N25" i="65067"/>
  <c r="N27" i="65067"/>
  <c r="N28" i="65067"/>
  <c r="N29" i="65067"/>
  <c r="N10" i="65099"/>
  <c r="N11" i="65099"/>
  <c r="N13" i="65099"/>
  <c r="N14" i="65099"/>
  <c r="N16" i="65099"/>
  <c r="N17" i="65099"/>
  <c r="N18" i="65099"/>
  <c r="N19" i="65099"/>
  <c r="N20" i="65099"/>
  <c r="N21" i="65099"/>
  <c r="N22" i="65099"/>
  <c r="N23" i="65099"/>
  <c r="N24" i="65099"/>
  <c r="N25" i="65099"/>
  <c r="N27" i="65099"/>
  <c r="N28" i="65099"/>
  <c r="N29" i="65099"/>
  <c r="N10" i="65123"/>
  <c r="N11" i="65123"/>
  <c r="N13" i="65123"/>
  <c r="N14" i="65123"/>
  <c r="N16" i="65123"/>
  <c r="N17" i="65123"/>
  <c r="N18" i="65123"/>
  <c r="N19" i="65123"/>
  <c r="N20" i="65123"/>
  <c r="N21" i="65123"/>
  <c r="N22" i="65123"/>
  <c r="N23" i="65123"/>
  <c r="N24" i="65123"/>
  <c r="N25" i="65123"/>
  <c r="N27" i="65123"/>
  <c r="N28" i="65123"/>
  <c r="N29" i="65123"/>
  <c r="N10" i="65068"/>
  <c r="N11" i="65068"/>
  <c r="N13" i="65068"/>
  <c r="N14" i="65068"/>
  <c r="N16" i="65068"/>
  <c r="N17" i="65068"/>
  <c r="N18" i="65068"/>
  <c r="N19" i="65068"/>
  <c r="N20" i="65068"/>
  <c r="N21" i="65068"/>
  <c r="N22" i="65068"/>
  <c r="N23" i="65068"/>
  <c r="N24" i="65068"/>
  <c r="N25" i="65068"/>
  <c r="N27" i="65068"/>
  <c r="N28" i="65068"/>
  <c r="N29" i="65068"/>
  <c r="N10" i="65069"/>
  <c r="N11" i="65069"/>
  <c r="N13" i="65069"/>
  <c r="N16" i="65069"/>
  <c r="N18" i="65069"/>
  <c r="N19" i="65069"/>
  <c r="N20" i="65069"/>
  <c r="N21" i="65069"/>
  <c r="N22" i="65069"/>
  <c r="N23" i="65069"/>
  <c r="N24" i="65069"/>
  <c r="N25" i="65069"/>
  <c r="N26" i="65069"/>
  <c r="N27" i="65069"/>
  <c r="N29" i="65069"/>
  <c r="N30" i="65069"/>
  <c r="N31" i="65069"/>
  <c r="N10" i="65070"/>
  <c r="N11" i="65070"/>
  <c r="N13" i="65070"/>
  <c r="N14" i="65070"/>
  <c r="N16" i="65070"/>
  <c r="N17" i="65070"/>
  <c r="N18" i="65070"/>
  <c r="N19" i="65070"/>
  <c r="N20" i="65070"/>
  <c r="N21" i="65070"/>
  <c r="N22" i="65070"/>
  <c r="N23" i="65070"/>
  <c r="N24" i="65070"/>
  <c r="N27" i="65070"/>
  <c r="N29" i="65070"/>
  <c r="N30" i="65070"/>
  <c r="N31" i="65070"/>
  <c r="N10" i="65071"/>
  <c r="N11" i="65071"/>
  <c r="N13" i="65071"/>
  <c r="N14" i="65071"/>
  <c r="N16" i="65071"/>
  <c r="N17" i="65071"/>
  <c r="N18" i="65071"/>
  <c r="N19" i="65071"/>
  <c r="N20" i="65071"/>
  <c r="N21" i="65071"/>
  <c r="N22" i="65071"/>
  <c r="N23" i="65071"/>
  <c r="N24" i="65071"/>
  <c r="N25" i="65071"/>
  <c r="N26" i="65071"/>
  <c r="N28" i="65071"/>
  <c r="N29" i="65071"/>
  <c r="N10" i="65074"/>
  <c r="N11" i="65074"/>
  <c r="N13" i="65074"/>
  <c r="N14" i="65074"/>
  <c r="N16" i="65074"/>
  <c r="N17" i="65074"/>
  <c r="N18" i="65074"/>
  <c r="N19" i="65074"/>
  <c r="N20" i="65074"/>
  <c r="N21" i="65074"/>
  <c r="N22" i="65074"/>
  <c r="N23" i="65074"/>
  <c r="N24" i="65074"/>
  <c r="N25" i="65074"/>
  <c r="N27" i="65074"/>
  <c r="N28" i="65074"/>
  <c r="N29" i="65074"/>
  <c r="N10" i="65100"/>
  <c r="N11" i="65100"/>
  <c r="N13" i="65100"/>
  <c r="N14" i="65100"/>
  <c r="N16" i="65100"/>
  <c r="N17" i="65100"/>
  <c r="N18" i="65100"/>
  <c r="N19" i="65100"/>
  <c r="N20" i="65100"/>
  <c r="N21" i="65100"/>
  <c r="N22" i="65100"/>
  <c r="N23" i="65100"/>
  <c r="N24" i="65100"/>
  <c r="N25" i="65100"/>
  <c r="N27" i="65100"/>
  <c r="N28" i="65100"/>
  <c r="N29" i="65100"/>
  <c r="N10" i="65115"/>
  <c r="N11" i="65115"/>
  <c r="N13" i="65115"/>
  <c r="N14" i="65115"/>
  <c r="N16" i="65115"/>
  <c r="N17" i="65115"/>
  <c r="N18" i="65115"/>
  <c r="N19" i="65115"/>
  <c r="N20" i="65115"/>
  <c r="N21" i="65115"/>
  <c r="N22" i="65115"/>
  <c r="N23" i="65115"/>
  <c r="N24" i="65115"/>
  <c r="N25" i="65115"/>
  <c r="N27" i="65115"/>
  <c r="N28" i="65115"/>
  <c r="N29" i="65115"/>
  <c r="N10" i="65075"/>
  <c r="N11" i="65075"/>
  <c r="N13" i="65075"/>
  <c r="N14" i="65075"/>
  <c r="N16" i="65075"/>
  <c r="N17" i="65075"/>
  <c r="N18" i="65075"/>
  <c r="N19" i="65075"/>
  <c r="N20" i="65075"/>
  <c r="N21" i="65075"/>
  <c r="N22" i="65075"/>
  <c r="N23" i="65075"/>
  <c r="N24" i="65075"/>
  <c r="N25" i="65075"/>
  <c r="N26" i="65075"/>
  <c r="N29" i="65075"/>
  <c r="N34" i="65075"/>
  <c r="N36" i="65075"/>
  <c r="N10" i="65076"/>
  <c r="N14" i="65076"/>
  <c r="N17" i="65076"/>
  <c r="N29" i="65076"/>
  <c r="N31" i="65076"/>
  <c r="N10" i="65077"/>
  <c r="N11" i="65077"/>
  <c r="N13" i="65077"/>
  <c r="N14" i="65077"/>
  <c r="N16" i="65077"/>
  <c r="N17" i="65077"/>
  <c r="N18" i="65077"/>
  <c r="N19" i="65077"/>
  <c r="N20" i="65077"/>
  <c r="N21" i="65077"/>
  <c r="N22" i="65077"/>
  <c r="N23" i="65077"/>
  <c r="N24" i="65077"/>
  <c r="N25" i="65077"/>
  <c r="N27" i="65077"/>
  <c r="N10" i="65078"/>
  <c r="N11" i="65078"/>
  <c r="N13" i="65078"/>
  <c r="N14" i="65078"/>
  <c r="N16" i="65078"/>
  <c r="N17" i="65078"/>
  <c r="N18" i="65078"/>
  <c r="N19" i="65078"/>
  <c r="N20" i="65078"/>
  <c r="N21" i="65078"/>
  <c r="N22" i="65078"/>
  <c r="N23" i="65078"/>
  <c r="N24" i="65078"/>
  <c r="N25" i="65078"/>
  <c r="N26" i="65078"/>
  <c r="N28" i="65078"/>
  <c r="N10" i="65079"/>
  <c r="N11" i="65079"/>
  <c r="N13" i="65079"/>
  <c r="N14" i="65079"/>
  <c r="N16" i="65079"/>
  <c r="N17" i="65079"/>
  <c r="N18" i="65079"/>
  <c r="N19" i="65079"/>
  <c r="N20" i="65079"/>
  <c r="N21" i="65079"/>
  <c r="N22" i="65079"/>
  <c r="N23" i="65079"/>
  <c r="N24" i="65079"/>
  <c r="N25" i="65079"/>
  <c r="N10" i="65080"/>
  <c r="N11" i="65080"/>
  <c r="N13" i="65080"/>
  <c r="N14" i="65080"/>
  <c r="N16" i="65080"/>
  <c r="N17" i="65080"/>
  <c r="N18" i="65080"/>
  <c r="N19" i="65080"/>
  <c r="N21" i="65080"/>
  <c r="N22" i="65080"/>
  <c r="N23" i="65080"/>
  <c r="N24" i="65080"/>
  <c r="N25" i="65080"/>
  <c r="N26" i="65080"/>
  <c r="N27" i="65080"/>
  <c r="N29" i="65080"/>
  <c r="N31" i="65080"/>
  <c r="N32" i="65080"/>
  <c r="N10" i="65082"/>
  <c r="N11" i="65082"/>
  <c r="N13" i="65082"/>
  <c r="N14" i="65082"/>
  <c r="N16" i="65082"/>
  <c r="N17" i="65082"/>
  <c r="N18" i="65082"/>
  <c r="N19" i="65082"/>
  <c r="N20" i="65082"/>
  <c r="N21" i="65082"/>
  <c r="N22" i="65082"/>
  <c r="N23" i="65082"/>
  <c r="N24" i="65082"/>
  <c r="N25" i="65082"/>
  <c r="N27" i="65082"/>
  <c r="N28" i="65082"/>
  <c r="N29" i="65082"/>
  <c r="N10" i="65081"/>
  <c r="N11" i="65081"/>
  <c r="N13" i="65081"/>
  <c r="N14" i="65081"/>
  <c r="N16" i="65081"/>
  <c r="N17" i="65081"/>
  <c r="N18" i="65081"/>
  <c r="N19" i="65081"/>
  <c r="N20" i="65081"/>
  <c r="N21" i="65081"/>
  <c r="N22" i="65081"/>
  <c r="N23" i="65081"/>
  <c r="N24" i="65081"/>
  <c r="N25" i="65081"/>
  <c r="N27" i="65081"/>
  <c r="N28" i="65081"/>
  <c r="N29" i="65081"/>
  <c r="N10" i="65122"/>
  <c r="N11" i="65122"/>
  <c r="N13" i="65122"/>
  <c r="N14" i="65122"/>
  <c r="N16" i="65122"/>
  <c r="N17" i="65122"/>
  <c r="N18" i="65122"/>
  <c r="N19" i="65122"/>
  <c r="N20" i="65122"/>
  <c r="N21" i="65122"/>
  <c r="N22" i="65122"/>
  <c r="N23" i="65122"/>
  <c r="N24" i="65122"/>
  <c r="N25" i="65122"/>
  <c r="N27" i="65122"/>
  <c r="N28" i="65122"/>
  <c r="N10" i="65083"/>
  <c r="N11" i="65083"/>
  <c r="N13" i="65083"/>
  <c r="N14" i="65083"/>
  <c r="N16" i="65083"/>
  <c r="N17" i="65083"/>
  <c r="N18" i="65083"/>
  <c r="N19" i="65083"/>
  <c r="N20" i="65083"/>
  <c r="N21" i="65083"/>
  <c r="N22" i="65083"/>
  <c r="N23" i="65083"/>
  <c r="N24" i="65083"/>
  <c r="N25" i="65083"/>
  <c r="N27" i="65083"/>
  <c r="N28" i="65083"/>
  <c r="N29" i="65083"/>
  <c r="N10" i="65084"/>
  <c r="N11" i="65084"/>
  <c r="N13" i="65084"/>
  <c r="N14" i="65084"/>
  <c r="N16" i="65084"/>
  <c r="N17" i="65084"/>
  <c r="N18" i="65084"/>
  <c r="N19" i="65084"/>
  <c r="N20" i="65084"/>
  <c r="N21" i="65084"/>
  <c r="N22" i="65084"/>
  <c r="N23" i="65084"/>
  <c r="N24" i="65084"/>
  <c r="N25" i="65084"/>
  <c r="N27" i="65084"/>
  <c r="N28" i="65084"/>
  <c r="N29" i="65084"/>
  <c r="N10" i="65085"/>
  <c r="N11" i="65085"/>
  <c r="N13" i="65085"/>
  <c r="N14" i="65085"/>
  <c r="N16" i="65085"/>
  <c r="N17" i="65085"/>
  <c r="N18" i="65085"/>
  <c r="N19" i="65085"/>
  <c r="N20" i="65085"/>
  <c r="N21" i="65085"/>
  <c r="N22" i="65085"/>
  <c r="N23" i="65085"/>
  <c r="N24" i="65085"/>
  <c r="N25" i="65085"/>
  <c r="N27" i="65085"/>
  <c r="N28" i="65085"/>
  <c r="N29" i="65085"/>
  <c r="N10" i="65086"/>
  <c r="N11" i="65086"/>
  <c r="N13" i="65086"/>
  <c r="N14" i="65086"/>
  <c r="N16" i="65086"/>
  <c r="N17" i="65086"/>
  <c r="N18" i="65086"/>
  <c r="N19" i="65086"/>
  <c r="N20" i="65086"/>
  <c r="N21" i="65086"/>
  <c r="N22" i="65086"/>
  <c r="N23" i="65086"/>
  <c r="N24" i="65086"/>
  <c r="N25" i="65086"/>
  <c r="N27" i="65086"/>
  <c r="N28" i="65086"/>
  <c r="N29" i="65086"/>
  <c r="N10" i="65087"/>
  <c r="N11" i="65087"/>
  <c r="N13" i="65087"/>
  <c r="N14" i="65087"/>
  <c r="N16" i="65087"/>
  <c r="N17" i="65087"/>
  <c r="N18" i="65087"/>
  <c r="N19" i="65087"/>
  <c r="N20" i="65087"/>
  <c r="N21" i="65087"/>
  <c r="N22" i="65087"/>
  <c r="N23" i="65087"/>
  <c r="N24" i="65087"/>
  <c r="N25" i="65087"/>
  <c r="N27" i="65087"/>
  <c r="N28" i="65087"/>
  <c r="N29" i="65087"/>
  <c r="N10" i="65088"/>
  <c r="N11" i="65088"/>
  <c r="N13" i="65088"/>
  <c r="N14" i="65088"/>
  <c r="N16" i="65088"/>
  <c r="N17" i="65088"/>
  <c r="N18" i="65088"/>
  <c r="N19" i="65088"/>
  <c r="N20" i="65088"/>
  <c r="N21" i="65088"/>
  <c r="N22" i="65088"/>
  <c r="N23" i="65088"/>
  <c r="N24" i="65088"/>
  <c r="N25" i="65088"/>
  <c r="N27" i="65088"/>
  <c r="N28" i="65088"/>
  <c r="N29" i="65088"/>
  <c r="N10" i="65089"/>
  <c r="N11" i="65089"/>
  <c r="N13" i="65089"/>
  <c r="N14" i="65089"/>
  <c r="N16" i="65089"/>
  <c r="N17" i="65089"/>
  <c r="N18" i="65089"/>
  <c r="N19" i="65089"/>
  <c r="N20" i="65089"/>
  <c r="N21" i="65089"/>
  <c r="N22" i="65089"/>
  <c r="N23" i="65089"/>
  <c r="N24" i="65089"/>
  <c r="N25" i="65089"/>
  <c r="N27" i="65089"/>
  <c r="N28" i="65089"/>
  <c r="N29" i="65089"/>
  <c r="N10" i="65093"/>
  <c r="N11" i="65093"/>
  <c r="N13" i="65093"/>
  <c r="N14" i="65093"/>
  <c r="N16" i="65093"/>
  <c r="N17" i="65093"/>
  <c r="N18" i="65093"/>
  <c r="N19" i="65093"/>
  <c r="N20" i="65093"/>
  <c r="N21" i="65093"/>
  <c r="N22" i="65093"/>
  <c r="N23" i="65093"/>
  <c r="N24" i="65093"/>
  <c r="N25" i="65093"/>
  <c r="N29" i="65093"/>
  <c r="N32" i="65093"/>
  <c r="N10" i="65094"/>
  <c r="N11" i="65094"/>
  <c r="N13" i="65094"/>
  <c r="N14" i="65094"/>
  <c r="N16" i="65094"/>
  <c r="N17" i="65094"/>
  <c r="N18" i="65094"/>
  <c r="N19" i="65094"/>
  <c r="N20" i="65094"/>
  <c r="N21" i="65094"/>
  <c r="N22" i="65094"/>
  <c r="N23" i="65094"/>
  <c r="N24" i="65094"/>
  <c r="N25" i="65094"/>
  <c r="N27" i="65094"/>
  <c r="N28" i="65094"/>
  <c r="N29" i="65094"/>
  <c r="N10" i="65095"/>
  <c r="N11" i="65095"/>
  <c r="N13" i="65095"/>
  <c r="N14" i="65095"/>
  <c r="N16" i="65095"/>
  <c r="N17" i="65095"/>
  <c r="N18" i="65095"/>
  <c r="N19" i="65095"/>
  <c r="N20" i="65095"/>
  <c r="N21" i="65095"/>
  <c r="N22" i="65095"/>
  <c r="N23" i="65095"/>
  <c r="N24" i="65095"/>
  <c r="N25" i="65095"/>
  <c r="N28" i="65095"/>
  <c r="N29" i="65095"/>
  <c r="N10" i="65096"/>
  <c r="N11" i="65096"/>
  <c r="N13" i="65096"/>
  <c r="N14" i="65096"/>
  <c r="N16" i="65096"/>
  <c r="N17" i="65096"/>
  <c r="N18" i="65096"/>
  <c r="N19" i="65096"/>
  <c r="N20" i="65096"/>
  <c r="N21" i="65096"/>
  <c r="N22" i="65096"/>
  <c r="N23" i="65096"/>
  <c r="N24" i="65096"/>
  <c r="N25" i="65096"/>
  <c r="N27" i="65096"/>
  <c r="N28" i="65096"/>
  <c r="N29" i="65096"/>
  <c r="N10" i="65097"/>
  <c r="N11" i="65097"/>
  <c r="N13" i="65097"/>
  <c r="N14" i="65097"/>
  <c r="N16" i="65097"/>
  <c r="N17" i="65097"/>
  <c r="N18" i="65097"/>
  <c r="N19" i="65097"/>
  <c r="N20" i="65097"/>
  <c r="N21" i="65097"/>
  <c r="N22" i="65097"/>
  <c r="N23" i="65097"/>
  <c r="N24" i="65097"/>
  <c r="N25" i="65097"/>
  <c r="N27" i="65097"/>
  <c r="N28" i="65097"/>
  <c r="N29" i="65097"/>
  <c r="N10" i="65098"/>
  <c r="N11" i="65098"/>
  <c r="N13" i="65098"/>
  <c r="N14" i="65098"/>
  <c r="N16" i="65098"/>
  <c r="N17" i="65098"/>
  <c r="N18" i="65098"/>
  <c r="N19" i="65098"/>
  <c r="N20" i="65098"/>
  <c r="N21" i="65098"/>
  <c r="N22" i="65098"/>
  <c r="N23" i="65098"/>
  <c r="N24" i="65098"/>
  <c r="N25" i="65098"/>
  <c r="N27" i="65098"/>
  <c r="N28" i="65098"/>
  <c r="N29" i="65098"/>
  <c r="N10" i="65105"/>
  <c r="N11" i="65105"/>
  <c r="N13" i="65105"/>
  <c r="N14" i="65105"/>
  <c r="N16" i="65105"/>
  <c r="N17" i="65105"/>
  <c r="N18" i="65105"/>
  <c r="N19" i="65105"/>
  <c r="N20" i="65105"/>
  <c r="N21" i="65105"/>
  <c r="N22" i="65105"/>
  <c r="N23" i="65105"/>
  <c r="N24" i="65105"/>
  <c r="N25" i="65105"/>
  <c r="N27" i="65105"/>
  <c r="N28" i="65105"/>
  <c r="N29" i="65105"/>
  <c r="N10" i="16"/>
  <c r="N11" i="16"/>
  <c r="N13" i="16"/>
  <c r="N14" i="16"/>
  <c r="N16" i="16"/>
  <c r="N17" i="16"/>
  <c r="N18" i="16"/>
  <c r="N19" i="16"/>
  <c r="N20" i="16"/>
  <c r="N21" i="16"/>
  <c r="N22" i="16"/>
  <c r="N23" i="16"/>
  <c r="N24" i="16"/>
  <c r="N25" i="16"/>
  <c r="N27" i="16"/>
  <c r="N28" i="16"/>
  <c r="N30" i="16"/>
  <c r="N9" i="65065"/>
  <c r="N9" i="65067"/>
  <c r="N9" i="65099"/>
  <c r="N9" i="65123"/>
  <c r="N9" i="65068"/>
  <c r="N9" i="65069"/>
  <c r="N9" i="65070"/>
  <c r="N9" i="65071"/>
  <c r="N9" i="65074"/>
  <c r="N9" i="65100"/>
  <c r="N9" i="65115"/>
  <c r="N9" i="65075"/>
  <c r="N9" i="65076"/>
  <c r="N9" i="65077"/>
  <c r="N9" i="65078"/>
  <c r="N9" i="65079"/>
  <c r="N9" i="65080"/>
  <c r="N9" i="65082"/>
  <c r="N9" i="65081"/>
  <c r="N9" i="65122"/>
  <c r="N9" i="65083"/>
  <c r="N9" i="65084"/>
  <c r="N9" i="65085"/>
  <c r="N9" i="65086"/>
  <c r="N9" i="65087"/>
  <c r="N9" i="65088"/>
  <c r="N9" i="65089"/>
  <c r="N9" i="65093"/>
  <c r="N9" i="65094"/>
  <c r="N9" i="65095"/>
  <c r="N9" i="65096"/>
  <c r="N9" i="65097"/>
  <c r="N9" i="65098"/>
  <c r="N9" i="16"/>
  <c r="N26" i="65095"/>
  <c r="N16" i="65076"/>
  <c r="I34" i="65069" l="1"/>
  <c r="I35" i="65069" s="1"/>
  <c r="K30" i="300"/>
  <c r="K65" i="300"/>
  <c r="K66" i="300"/>
  <c r="K33" i="65089"/>
  <c r="I35" i="65093"/>
  <c r="D18" i="304"/>
  <c r="I32" i="65068"/>
  <c r="I33" i="65068" s="1"/>
  <c r="I37" i="65077"/>
  <c r="I42" i="65079"/>
  <c r="I43" i="65079" s="1"/>
  <c r="G17" i="300"/>
  <c r="N12" i="65076"/>
  <c r="J32" i="16"/>
  <c r="E24" i="65137"/>
  <c r="I36" i="65095"/>
  <c r="D29" i="304"/>
  <c r="N14" i="65065"/>
  <c r="N19" i="65065"/>
  <c r="I36" i="65093" l="1"/>
  <c r="I37" i="65093" s="1"/>
  <c r="F119" i="300"/>
  <c r="E9" i="65137"/>
  <c r="I37" i="65095"/>
  <c r="I38" i="65095" s="1"/>
  <c r="E25" i="65137"/>
  <c r="I32" i="65100"/>
  <c r="I33" i="65141" s="1"/>
  <c r="J33" i="16"/>
  <c r="J34" i="16" s="1"/>
  <c r="E39" i="65137"/>
  <c r="E26" i="65137"/>
  <c r="E86" i="65137"/>
  <c r="I38" i="65077"/>
  <c r="I39" i="65077" s="1"/>
  <c r="I52" i="65065"/>
  <c r="I32" i="65143" s="1"/>
  <c r="I33" i="65143" s="1"/>
  <c r="D16" i="304"/>
  <c r="D15" i="304"/>
  <c r="J32" i="65068"/>
  <c r="N16" i="65065"/>
  <c r="N32" i="65065"/>
  <c r="D17" i="304" l="1"/>
  <c r="D14" i="304" s="1"/>
  <c r="D41" i="304" s="1"/>
  <c r="J33" i="65068"/>
  <c r="N15" i="65065"/>
  <c r="N13" i="65076" l="1"/>
  <c r="N26" i="65093"/>
  <c r="M26" i="65079"/>
  <c r="M26" i="65067"/>
  <c r="N26" i="65067" l="1"/>
  <c r="N26" i="65079"/>
  <c r="G115" i="300"/>
  <c r="J115" i="300"/>
  <c r="G116" i="300"/>
  <c r="J116" i="300"/>
  <c r="F116" i="300"/>
  <c r="F115" i="300"/>
  <c r="M43" i="65076"/>
  <c r="N43" i="65076" s="1"/>
  <c r="K116" i="300" l="1"/>
  <c r="K115" i="300"/>
  <c r="G102" i="300"/>
  <c r="G103" i="300"/>
  <c r="G90" i="300"/>
  <c r="G91" i="300"/>
  <c r="G85" i="300"/>
  <c r="G86" i="300"/>
  <c r="G87" i="300"/>
  <c r="G88" i="300"/>
  <c r="G73" i="300"/>
  <c r="G75" i="300"/>
  <c r="G76" i="300"/>
  <c r="G77" i="300"/>
  <c r="G79" i="300"/>
  <c r="G80" i="300"/>
  <c r="G67" i="300"/>
  <c r="G71" i="300"/>
  <c r="G54" i="300"/>
  <c r="G56" i="300"/>
  <c r="G57" i="300"/>
  <c r="G58" i="300"/>
  <c r="G59" i="300"/>
  <c r="G60" i="300"/>
  <c r="G53" i="300" s="1"/>
  <c r="G61" i="300"/>
  <c r="K40" i="300"/>
  <c r="G10" i="300"/>
  <c r="G11" i="300"/>
  <c r="G12" i="300"/>
  <c r="G13" i="300"/>
  <c r="G63" i="300" l="1"/>
  <c r="G84" i="300"/>
  <c r="G89" i="300"/>
  <c r="G114" i="300"/>
  <c r="E36" i="304" s="1"/>
  <c r="G101" i="300"/>
  <c r="G9" i="300"/>
  <c r="M12" i="65094"/>
  <c r="M30" i="65095"/>
  <c r="M30" i="65093"/>
  <c r="N30" i="65093" s="1"/>
  <c r="N30" i="65080"/>
  <c r="N27" i="65078"/>
  <c r="N26" i="65077"/>
  <c r="M32" i="65077"/>
  <c r="N32" i="65077" s="1"/>
  <c r="M30" i="65076"/>
  <c r="N27" i="65075"/>
  <c r="M35" i="65075"/>
  <c r="N30" i="65095" l="1"/>
  <c r="N12" i="65094"/>
  <c r="N30" i="65076"/>
  <c r="N35" i="65075"/>
  <c r="E24" i="304"/>
  <c r="E21" i="304"/>
  <c r="E23" i="304"/>
  <c r="E26" i="304"/>
  <c r="E27" i="304"/>
  <c r="E31" i="304"/>
  <c r="G15" i="300"/>
  <c r="G52" i="300"/>
  <c r="E25" i="304" l="1"/>
  <c r="E22" i="304"/>
  <c r="G7" i="300"/>
  <c r="E34" i="304" l="1"/>
  <c r="M15" i="65122"/>
  <c r="K49" i="300"/>
  <c r="F49" i="300"/>
  <c r="M8" i="65080"/>
  <c r="E19" i="304"/>
  <c r="M26" i="65085"/>
  <c r="J31" i="65124" s="1"/>
  <c r="M12" i="65098"/>
  <c r="M8" i="65098"/>
  <c r="M12" i="65096"/>
  <c r="M8" i="65096"/>
  <c r="M12" i="65071"/>
  <c r="M8" i="65071"/>
  <c r="M12" i="65105"/>
  <c r="M12" i="65097"/>
  <c r="E40" i="65124" s="1"/>
  <c r="M8" i="65097"/>
  <c r="M12" i="65095"/>
  <c r="E38" i="65124" s="1"/>
  <c r="M8" i="65095"/>
  <c r="M8" i="65094"/>
  <c r="M12" i="65093"/>
  <c r="M8" i="65093"/>
  <c r="M12" i="65089"/>
  <c r="E35" i="65124" s="1"/>
  <c r="M8" i="65089"/>
  <c r="M12" i="65088"/>
  <c r="M8" i="65088"/>
  <c r="M12" i="65087"/>
  <c r="M8" i="65087"/>
  <c r="M12" i="65086"/>
  <c r="M8" i="65086"/>
  <c r="M12" i="65085"/>
  <c r="M8" i="65085"/>
  <c r="M12" i="65084"/>
  <c r="M8" i="65084"/>
  <c r="M12" i="65083"/>
  <c r="E29" i="65124" s="1"/>
  <c r="M8" i="65083"/>
  <c r="M12" i="65122"/>
  <c r="E28" i="65124" s="1"/>
  <c r="M8" i="65122"/>
  <c r="M12" i="65081"/>
  <c r="M8" i="65081"/>
  <c r="M12" i="65082"/>
  <c r="M8" i="65082"/>
  <c r="M12" i="65080"/>
  <c r="M12" i="65079"/>
  <c r="E24" i="65124" s="1"/>
  <c r="M8" i="65079"/>
  <c r="M12" i="65078"/>
  <c r="M8" i="65078"/>
  <c r="M12" i="65077"/>
  <c r="M8" i="65077"/>
  <c r="M15" i="65076"/>
  <c r="M11" i="65076"/>
  <c r="M12" i="65115"/>
  <c r="E18" i="65124" s="1"/>
  <c r="M8" i="65115"/>
  <c r="M12" i="65100"/>
  <c r="M8" i="65100"/>
  <c r="M12" i="65074"/>
  <c r="E16" i="65124" s="1"/>
  <c r="M8" i="65074"/>
  <c r="M12" i="65070"/>
  <c r="M8" i="65070"/>
  <c r="M8" i="65069"/>
  <c r="M12" i="65068"/>
  <c r="M8" i="65068"/>
  <c r="M12" i="65123"/>
  <c r="E9" i="65124" s="1"/>
  <c r="M8" i="65123"/>
  <c r="M12" i="65099"/>
  <c r="M8" i="65099"/>
  <c r="M12" i="65067"/>
  <c r="E7" i="65124" s="1"/>
  <c r="M8" i="65067"/>
  <c r="M18" i="65065"/>
  <c r="E6" i="65124" s="1"/>
  <c r="M13" i="65065"/>
  <c r="M12" i="16"/>
  <c r="E5" i="65124" s="1"/>
  <c r="M8" i="16"/>
  <c r="G72" i="65137"/>
  <c r="G65" i="65137"/>
  <c r="G64" i="65137"/>
  <c r="K18" i="300"/>
  <c r="K19" i="300"/>
  <c r="E45" i="65125"/>
  <c r="F45" i="65125"/>
  <c r="G10" i="65137"/>
  <c r="G12" i="65137"/>
  <c r="G13" i="65137"/>
  <c r="G14" i="65137"/>
  <c r="G15" i="65137"/>
  <c r="G16" i="65137"/>
  <c r="E17" i="65137"/>
  <c r="G17" i="65137" s="1"/>
  <c r="F17" i="65137"/>
  <c r="G18" i="65137"/>
  <c r="G19" i="65137"/>
  <c r="G20" i="65137"/>
  <c r="G21" i="65137"/>
  <c r="G22" i="65137"/>
  <c r="G27" i="65137"/>
  <c r="G28" i="65137"/>
  <c r="G31" i="65137"/>
  <c r="G33" i="65137"/>
  <c r="G34" i="65137"/>
  <c r="G35" i="65137"/>
  <c r="G36" i="65137"/>
  <c r="G37" i="65137"/>
  <c r="G38" i="65137"/>
  <c r="E40" i="65137"/>
  <c r="G40" i="65137" s="1"/>
  <c r="F40" i="65137"/>
  <c r="G41" i="65137"/>
  <c r="G42" i="65137"/>
  <c r="G43" i="65137"/>
  <c r="G44" i="65137"/>
  <c r="G45" i="65137"/>
  <c r="G46" i="65137"/>
  <c r="E47" i="65137"/>
  <c r="G47" i="65137" s="1"/>
  <c r="F47" i="65137"/>
  <c r="G48" i="65137"/>
  <c r="G49" i="65137"/>
  <c r="G50" i="65137"/>
  <c r="G51" i="65137"/>
  <c r="G52" i="65137"/>
  <c r="G53" i="65137"/>
  <c r="E54" i="65137"/>
  <c r="G54" i="65137" s="1"/>
  <c r="F54" i="65137"/>
  <c r="G55" i="65137"/>
  <c r="G56" i="65137"/>
  <c r="G57" i="65137"/>
  <c r="G58" i="65137"/>
  <c r="G59" i="65137"/>
  <c r="G60" i="65137"/>
  <c r="G62" i="65137"/>
  <c r="G63" i="65137"/>
  <c r="E61" i="65137"/>
  <c r="G66" i="65137"/>
  <c r="G67" i="65137"/>
  <c r="G71" i="65137"/>
  <c r="G73" i="65137"/>
  <c r="G74" i="65137"/>
  <c r="G75" i="65137"/>
  <c r="G78" i="65137"/>
  <c r="G79" i="65137"/>
  <c r="G80" i="65137"/>
  <c r="G81" i="65137"/>
  <c r="G82" i="65137"/>
  <c r="G83" i="65137"/>
  <c r="G84" i="65137"/>
  <c r="G85" i="65137"/>
  <c r="C5" i="65124"/>
  <c r="C6" i="65124"/>
  <c r="D6" i="65124"/>
  <c r="C7" i="65124"/>
  <c r="C8" i="65124"/>
  <c r="C9" i="65124"/>
  <c r="C12" i="65124"/>
  <c r="C13" i="65124"/>
  <c r="C14" i="65124"/>
  <c r="C15" i="65124"/>
  <c r="C16" i="65124"/>
  <c r="C17" i="65124"/>
  <c r="C18" i="65124"/>
  <c r="C20" i="65124"/>
  <c r="C21" i="65124"/>
  <c r="C22" i="65124"/>
  <c r="C23" i="65124"/>
  <c r="C24" i="65124"/>
  <c r="C26" i="65124"/>
  <c r="C27" i="65124"/>
  <c r="C28" i="65124"/>
  <c r="C29" i="65124"/>
  <c r="C30" i="65124"/>
  <c r="C31" i="65124"/>
  <c r="C32" i="65124"/>
  <c r="C33" i="65124"/>
  <c r="C34" i="65124"/>
  <c r="C35" i="65124"/>
  <c r="C36" i="65124"/>
  <c r="C37" i="65124"/>
  <c r="C38" i="65124"/>
  <c r="C39" i="65124"/>
  <c r="C40" i="65124"/>
  <c r="C41" i="65124"/>
  <c r="M15" i="65105"/>
  <c r="F42" i="65124" s="1"/>
  <c r="M26" i="65105"/>
  <c r="J42" i="65124" s="1"/>
  <c r="M15" i="65098"/>
  <c r="M26" i="65098"/>
  <c r="D43" i="65125" s="1"/>
  <c r="C43" i="65125" s="1"/>
  <c r="M15" i="65097"/>
  <c r="M26" i="65097"/>
  <c r="J40" i="65124" s="1"/>
  <c r="M15" i="65096"/>
  <c r="M26" i="65096"/>
  <c r="M15" i="65095"/>
  <c r="F38" i="65124" s="1"/>
  <c r="M15" i="65094"/>
  <c r="F37" i="65124" s="1"/>
  <c r="M26" i="65094"/>
  <c r="M15" i="65093"/>
  <c r="G36" i="65124"/>
  <c r="M15" i="65089"/>
  <c r="M26" i="65089"/>
  <c r="M15" i="65088"/>
  <c r="M26" i="65088"/>
  <c r="M15" i="65087"/>
  <c r="F33" i="65124" s="1"/>
  <c r="M26" i="65087"/>
  <c r="J33" i="65124" s="1"/>
  <c r="M15" i="65086"/>
  <c r="M26" i="65086"/>
  <c r="D34" i="65125" s="1"/>
  <c r="C34" i="65125" s="1"/>
  <c r="M15" i="65085"/>
  <c r="M15" i="65084"/>
  <c r="M26" i="65084"/>
  <c r="M15" i="65083"/>
  <c r="M26" i="65083"/>
  <c r="D31" i="65125" s="1"/>
  <c r="C31" i="65125" s="1"/>
  <c r="M26" i="65122"/>
  <c r="M15" i="65081"/>
  <c r="M26" i="65081"/>
  <c r="D29" i="65125" s="1"/>
  <c r="C29" i="65125" s="1"/>
  <c r="M15" i="65082"/>
  <c r="M26" i="65082"/>
  <c r="M44" i="65080"/>
  <c r="M15" i="65079"/>
  <c r="G24" i="65124"/>
  <c r="M36" i="65079"/>
  <c r="N36" i="65079" s="1"/>
  <c r="M15" i="65078"/>
  <c r="N30" i="65078"/>
  <c r="M15" i="65077"/>
  <c r="F22" i="65124" s="1"/>
  <c r="J22" i="65124"/>
  <c r="M8" i="65076"/>
  <c r="M18" i="65076"/>
  <c r="M35" i="65076"/>
  <c r="M39" i="65076"/>
  <c r="N39" i="65076" s="1"/>
  <c r="K21" i="65124"/>
  <c r="J20" i="65124"/>
  <c r="M15" i="65115"/>
  <c r="M26" i="65115"/>
  <c r="J18" i="65124" s="1"/>
  <c r="M15" i="65100"/>
  <c r="M26" i="65100"/>
  <c r="D19" i="65125" s="1"/>
  <c r="C19" i="65125" s="1"/>
  <c r="M15" i="65074"/>
  <c r="N26" i="65074"/>
  <c r="M15" i="65071"/>
  <c r="M27" i="65071"/>
  <c r="D17" i="65125" s="1"/>
  <c r="C17" i="65125" s="1"/>
  <c r="M15" i="65070"/>
  <c r="M28" i="65070"/>
  <c r="M17" i="65069"/>
  <c r="F13" i="65124" s="1"/>
  <c r="M28" i="65069"/>
  <c r="M15" i="65068"/>
  <c r="M26" i="65068"/>
  <c r="D14" i="65125" s="1"/>
  <c r="C14" i="65125" s="1"/>
  <c r="M15" i="65123"/>
  <c r="M26" i="65123"/>
  <c r="M15" i="65099"/>
  <c r="M26" i="65099"/>
  <c r="M15" i="65067"/>
  <c r="M8" i="65065"/>
  <c r="M21" i="65065"/>
  <c r="M42" i="65065"/>
  <c r="N42" i="65065" s="1"/>
  <c r="N45" i="65065"/>
  <c r="M15" i="16"/>
  <c r="J5" i="65124"/>
  <c r="K8" i="300"/>
  <c r="F10" i="300"/>
  <c r="J10" i="300"/>
  <c r="F11" i="300"/>
  <c r="J11" i="300"/>
  <c r="F12" i="300"/>
  <c r="J12" i="300"/>
  <c r="F13" i="300"/>
  <c r="J13" i="300"/>
  <c r="D23" i="304"/>
  <c r="K27" i="300"/>
  <c r="K28" i="300"/>
  <c r="K29" i="300"/>
  <c r="K31" i="300"/>
  <c r="K33" i="300"/>
  <c r="K34" i="300"/>
  <c r="K36" i="300"/>
  <c r="F37" i="300"/>
  <c r="K39" i="300"/>
  <c r="F40" i="300"/>
  <c r="K42" i="300"/>
  <c r="F45" i="300"/>
  <c r="K45" i="300"/>
  <c r="F46" i="300"/>
  <c r="K46" i="300"/>
  <c r="K48" i="300"/>
  <c r="F54" i="300"/>
  <c r="J54" i="300"/>
  <c r="F56" i="300"/>
  <c r="J56" i="300"/>
  <c r="F57" i="300"/>
  <c r="J57" i="300"/>
  <c r="F58" i="300"/>
  <c r="J58" i="300"/>
  <c r="K58" i="300" s="1"/>
  <c r="F59" i="300"/>
  <c r="J59" i="300"/>
  <c r="K59" i="300" s="1"/>
  <c r="F60" i="300"/>
  <c r="J60" i="300"/>
  <c r="F61" i="300"/>
  <c r="J61" i="300"/>
  <c r="F67" i="300"/>
  <c r="J67" i="300"/>
  <c r="K70" i="300"/>
  <c r="F71" i="300"/>
  <c r="J71" i="300"/>
  <c r="K71" i="300" s="1"/>
  <c r="F73" i="300"/>
  <c r="J73" i="300"/>
  <c r="F75" i="300"/>
  <c r="J75" i="300"/>
  <c r="K75" i="300" s="1"/>
  <c r="F76" i="300"/>
  <c r="J76" i="300"/>
  <c r="F77" i="300"/>
  <c r="J77" i="300"/>
  <c r="F79" i="300"/>
  <c r="J79" i="300"/>
  <c r="F80" i="300"/>
  <c r="J80" i="300"/>
  <c r="K80" i="300" s="1"/>
  <c r="F85" i="300"/>
  <c r="J85" i="300"/>
  <c r="F86" i="300"/>
  <c r="J86" i="300"/>
  <c r="F87" i="300"/>
  <c r="J87" i="300"/>
  <c r="K87" i="300" s="1"/>
  <c r="F88" i="300"/>
  <c r="J88" i="300"/>
  <c r="K88" i="300" s="1"/>
  <c r="F90" i="300"/>
  <c r="J90" i="300"/>
  <c r="F91" i="300"/>
  <c r="J91" i="300"/>
  <c r="D26" i="304"/>
  <c r="F102" i="300"/>
  <c r="J102" i="300"/>
  <c r="K102" i="300" s="1"/>
  <c r="F103" i="300"/>
  <c r="J103" i="300"/>
  <c r="K107" i="300"/>
  <c r="K108" i="300"/>
  <c r="F34" i="304"/>
  <c r="G34" i="304"/>
  <c r="D40" i="65125"/>
  <c r="C40" i="65125" s="1"/>
  <c r="G38" i="65124"/>
  <c r="J36" i="65124"/>
  <c r="D38" i="65125"/>
  <c r="C38" i="65125" s="1"/>
  <c r="J27" i="65124"/>
  <c r="D25" i="65125"/>
  <c r="C25" i="65125" s="1"/>
  <c r="G23" i="65124"/>
  <c r="D22" i="65125"/>
  <c r="C22" i="65125" s="1"/>
  <c r="F20" i="65124"/>
  <c r="J16" i="65124"/>
  <c r="E37" i="65124"/>
  <c r="E27" i="65124"/>
  <c r="E20" i="65124"/>
  <c r="E39" i="65124"/>
  <c r="E17" i="65124"/>
  <c r="G21" i="65124"/>
  <c r="G22" i="65124"/>
  <c r="F28" i="65124"/>
  <c r="D8" i="65125"/>
  <c r="C8" i="65125" s="1"/>
  <c r="D18" i="65125"/>
  <c r="C18" i="65125" s="1"/>
  <c r="D9" i="65125"/>
  <c r="C9" i="65125" s="1"/>
  <c r="J7" i="65124"/>
  <c r="D24" i="65125"/>
  <c r="C24" i="65125" s="1"/>
  <c r="J38" i="65124"/>
  <c r="J6" i="65124"/>
  <c r="G25" i="65124"/>
  <c r="C25" i="65124"/>
  <c r="G20" i="65124"/>
  <c r="E17" i="304"/>
  <c r="E29" i="304"/>
  <c r="E18" i="304"/>
  <c r="E16" i="304"/>
  <c r="M49" i="65080" l="1"/>
  <c r="F76" i="65137" s="1"/>
  <c r="N44" i="65080"/>
  <c r="D27" i="65125"/>
  <c r="C27" i="65125" s="1"/>
  <c r="K60" i="300"/>
  <c r="J53" i="300"/>
  <c r="J25" i="65124"/>
  <c r="F53" i="300"/>
  <c r="J32" i="65124"/>
  <c r="F21" i="65124"/>
  <c r="M48" i="65076"/>
  <c r="F41" i="300"/>
  <c r="D33" i="65125"/>
  <c r="C33" i="65125" s="1"/>
  <c r="D26" i="65125"/>
  <c r="C26" i="65125" s="1"/>
  <c r="N8" i="65076"/>
  <c r="N35" i="65076"/>
  <c r="D44" i="65125"/>
  <c r="C44" i="65125" s="1"/>
  <c r="M33" i="65069"/>
  <c r="F24" i="65137" s="1"/>
  <c r="G24" i="65137" s="1"/>
  <c r="J12" i="65124"/>
  <c r="J21" i="65124"/>
  <c r="D42" i="65125"/>
  <c r="C42" i="65125" s="1"/>
  <c r="J29" i="65124"/>
  <c r="D23" i="65125"/>
  <c r="C23" i="65125" s="1"/>
  <c r="M52" i="65065"/>
  <c r="M31" i="65068"/>
  <c r="F11" i="65137" s="1"/>
  <c r="K86" i="300"/>
  <c r="K57" i="300"/>
  <c r="K103" i="300"/>
  <c r="K13" i="300"/>
  <c r="K54" i="300"/>
  <c r="N15" i="65105"/>
  <c r="N12" i="65098"/>
  <c r="N8" i="65098"/>
  <c r="N15" i="65097"/>
  <c r="N12" i="65097"/>
  <c r="N8" i="65097"/>
  <c r="N15" i="65096"/>
  <c r="N12" i="65096"/>
  <c r="N8" i="65096"/>
  <c r="N15" i="65095"/>
  <c r="N12" i="65095"/>
  <c r="N8" i="65095"/>
  <c r="N15" i="65094"/>
  <c r="N8" i="65094"/>
  <c r="N15" i="65093"/>
  <c r="N12" i="65093"/>
  <c r="N8" i="65093"/>
  <c r="N15" i="65089"/>
  <c r="N12" i="65089"/>
  <c r="N8" i="65089"/>
  <c r="N15" i="65088"/>
  <c r="N12" i="65088"/>
  <c r="N8" i="65088"/>
  <c r="N15" i="65087"/>
  <c r="M31" i="65087"/>
  <c r="N31" i="65087" s="1"/>
  <c r="N8" i="65087"/>
  <c r="N15" i="65086"/>
  <c r="N12" i="65086"/>
  <c r="N8" i="65086"/>
  <c r="N15" i="65085"/>
  <c r="N12" i="65085"/>
  <c r="N8" i="65085"/>
  <c r="N12" i="65084"/>
  <c r="N8" i="65084"/>
  <c r="N12" i="65083"/>
  <c r="N8" i="65083"/>
  <c r="N15" i="65122"/>
  <c r="N12" i="65122"/>
  <c r="N8" i="65122"/>
  <c r="N12" i="65081"/>
  <c r="N8" i="65081"/>
  <c r="N15" i="65082"/>
  <c r="N12" i="65082"/>
  <c r="N8" i="65082"/>
  <c r="K79" i="300"/>
  <c r="K67" i="300"/>
  <c r="K61" i="300"/>
  <c r="N15" i="65079"/>
  <c r="N12" i="65079"/>
  <c r="N12" i="65078"/>
  <c r="N8" i="65078"/>
  <c r="N15" i="65077"/>
  <c r="N12" i="65077"/>
  <c r="N8" i="65077"/>
  <c r="K90" i="300"/>
  <c r="N18" i="65076"/>
  <c r="N12" i="65075"/>
  <c r="N15" i="65115"/>
  <c r="N12" i="65115"/>
  <c r="N8" i="65115"/>
  <c r="N15" i="65100"/>
  <c r="N12" i="65100"/>
  <c r="N8" i="65100"/>
  <c r="M31" i="65074"/>
  <c r="N31" i="65074" s="1"/>
  <c r="N12" i="65074"/>
  <c r="N8" i="65074"/>
  <c r="N12" i="65071"/>
  <c r="N8" i="65071"/>
  <c r="N28" i="65070"/>
  <c r="N12" i="65070"/>
  <c r="N8" i="65070"/>
  <c r="N28" i="65069"/>
  <c r="N17" i="65069"/>
  <c r="N8" i="65069"/>
  <c r="N15" i="65068"/>
  <c r="N12" i="65068"/>
  <c r="N8" i="65068"/>
  <c r="N15" i="65123"/>
  <c r="N12" i="65123"/>
  <c r="N8" i="65123"/>
  <c r="N15" i="65099"/>
  <c r="N8" i="65099"/>
  <c r="N12" i="65067"/>
  <c r="N8" i="65067"/>
  <c r="K77" i="300"/>
  <c r="K76" i="300"/>
  <c r="N34" i="65065"/>
  <c r="N21" i="65065"/>
  <c r="N18" i="65065"/>
  <c r="K12" i="300"/>
  <c r="K11" i="300"/>
  <c r="N15" i="16"/>
  <c r="N12" i="16"/>
  <c r="N8" i="16"/>
  <c r="M31" i="65088"/>
  <c r="N31" i="65088" s="1"/>
  <c r="M31" i="65115"/>
  <c r="M32" i="65115" s="1"/>
  <c r="N15" i="65067"/>
  <c r="M31" i="65067"/>
  <c r="N31" i="65067" s="1"/>
  <c r="J8" i="65124"/>
  <c r="M31" i="65099"/>
  <c r="N31" i="65099" s="1"/>
  <c r="N26" i="65123"/>
  <c r="M31" i="65123"/>
  <c r="N26" i="65068"/>
  <c r="N26" i="65100"/>
  <c r="M31" i="65100"/>
  <c r="N26" i="65083"/>
  <c r="M31" i="65083"/>
  <c r="J30" i="65124"/>
  <c r="M31" i="65084"/>
  <c r="N26" i="65096"/>
  <c r="M31" i="65096"/>
  <c r="N26" i="65097"/>
  <c r="M31" i="65097"/>
  <c r="N26" i="65098"/>
  <c r="M31" i="65098"/>
  <c r="N26" i="65105"/>
  <c r="N26" i="65085"/>
  <c r="M31" i="65085"/>
  <c r="N26" i="65082"/>
  <c r="M31" i="65082"/>
  <c r="N26" i="65081"/>
  <c r="M31" i="65081"/>
  <c r="N26" i="65122"/>
  <c r="M31" i="65122"/>
  <c r="N26" i="65086"/>
  <c r="M31" i="65086"/>
  <c r="N26" i="65089"/>
  <c r="M31" i="65089"/>
  <c r="D39" i="65125"/>
  <c r="C39" i="65125" s="1"/>
  <c r="M31" i="65094"/>
  <c r="N15" i="65080"/>
  <c r="N15" i="65075"/>
  <c r="F7" i="65124"/>
  <c r="L7" i="65124" s="1"/>
  <c r="N15" i="65078"/>
  <c r="N13" i="65065"/>
  <c r="N11" i="65076"/>
  <c r="N8" i="65065"/>
  <c r="E31" i="65124"/>
  <c r="E23" i="65124"/>
  <c r="F23" i="65124"/>
  <c r="K10" i="300"/>
  <c r="E14" i="65124"/>
  <c r="J9" i="65124"/>
  <c r="F34" i="65124"/>
  <c r="F32" i="65124"/>
  <c r="J26" i="65124"/>
  <c r="F25" i="65124"/>
  <c r="F9" i="300"/>
  <c r="D21" i="304" s="1"/>
  <c r="F12" i="65124"/>
  <c r="J41" i="65124"/>
  <c r="J39" i="65124"/>
  <c r="D41" i="65125"/>
  <c r="C41" i="65125" s="1"/>
  <c r="J14" i="65124"/>
  <c r="D16" i="65125"/>
  <c r="C16" i="65125" s="1"/>
  <c r="M32" i="65071"/>
  <c r="G6" i="65124"/>
  <c r="G43" i="65124" s="1"/>
  <c r="E34" i="65124"/>
  <c r="J13" i="65124"/>
  <c r="E26" i="65124"/>
  <c r="F39" i="65124"/>
  <c r="J17" i="65124"/>
  <c r="J35" i="65124"/>
  <c r="F5" i="65124"/>
  <c r="L5" i="65124" s="1"/>
  <c r="F35" i="65124"/>
  <c r="E32" i="65124"/>
  <c r="E15" i="65124"/>
  <c r="D37" i="65125"/>
  <c r="C37" i="65125" s="1"/>
  <c r="J101" i="300"/>
  <c r="D30" i="65125"/>
  <c r="C30" i="65125" s="1"/>
  <c r="M37" i="65077"/>
  <c r="E41" i="65124"/>
  <c r="E30" i="65124"/>
  <c r="D11" i="65125"/>
  <c r="C11" i="65125" s="1"/>
  <c r="J28" i="65124"/>
  <c r="L28" i="65124" s="1"/>
  <c r="F31" i="65124"/>
  <c r="F24" i="65124"/>
  <c r="J9" i="300"/>
  <c r="M36" i="65095"/>
  <c r="D15" i="65125"/>
  <c r="C15" i="65125" s="1"/>
  <c r="E36" i="65124"/>
  <c r="F9" i="65124"/>
  <c r="M35" i="65093"/>
  <c r="J119" i="300" s="1"/>
  <c r="J24" i="65124"/>
  <c r="I21" i="65124"/>
  <c r="I43" i="65124" s="1"/>
  <c r="F40" i="65124"/>
  <c r="L40" i="65124" s="1"/>
  <c r="F17" i="65124"/>
  <c r="M33" i="65070"/>
  <c r="J37" i="65124"/>
  <c r="L37" i="65124" s="1"/>
  <c r="N26" i="65094"/>
  <c r="E12" i="65124"/>
  <c r="K110" i="300"/>
  <c r="N8" i="65079"/>
  <c r="M41" i="65079"/>
  <c r="N8" i="65075"/>
  <c r="M40" i="65075"/>
  <c r="F89" i="300"/>
  <c r="F84" i="300"/>
  <c r="K85" i="300"/>
  <c r="J84" i="300"/>
  <c r="F63" i="300"/>
  <c r="J63" i="300"/>
  <c r="K91" i="300"/>
  <c r="J89" i="300"/>
  <c r="K56" i="300"/>
  <c r="D28" i="65125"/>
  <c r="C28" i="65125" s="1"/>
  <c r="F26" i="65124"/>
  <c r="F18" i="65124"/>
  <c r="L18" i="65124" s="1"/>
  <c r="K73" i="300"/>
  <c r="F6" i="65124"/>
  <c r="M37" i="65078"/>
  <c r="J23" i="65124"/>
  <c r="N8" i="65080"/>
  <c r="H6" i="65124"/>
  <c r="H43" i="65124" s="1"/>
  <c r="F61" i="65137"/>
  <c r="G61" i="65137" s="1"/>
  <c r="E22" i="65124"/>
  <c r="L22" i="65124" s="1"/>
  <c r="K37" i="300"/>
  <c r="K35" i="300"/>
  <c r="E42" i="65124"/>
  <c r="N12" i="65105"/>
  <c r="F41" i="65124"/>
  <c r="N15" i="65098"/>
  <c r="D36" i="65125"/>
  <c r="C36" i="65125" s="1"/>
  <c r="N26" i="65088"/>
  <c r="D35" i="65125"/>
  <c r="C35" i="65125" s="1"/>
  <c r="N26" i="65087"/>
  <c r="E33" i="65124"/>
  <c r="L33" i="65124" s="1"/>
  <c r="N12" i="65087"/>
  <c r="D32" i="65125"/>
  <c r="C32" i="65125" s="1"/>
  <c r="N26" i="65084"/>
  <c r="F30" i="65124"/>
  <c r="N15" i="65084"/>
  <c r="F29" i="65124"/>
  <c r="N15" i="65083"/>
  <c r="F27" i="65124"/>
  <c r="L27" i="65124" s="1"/>
  <c r="N15" i="65081"/>
  <c r="E25" i="65124"/>
  <c r="N12" i="65080"/>
  <c r="E21" i="65124"/>
  <c r="N15" i="65076"/>
  <c r="F101" i="300"/>
  <c r="D27" i="304" s="1"/>
  <c r="D20" i="65125"/>
  <c r="C20" i="65125" s="1"/>
  <c r="N26" i="65115"/>
  <c r="F16" i="65124"/>
  <c r="L16" i="65124" s="1"/>
  <c r="N15" i="65074"/>
  <c r="J15" i="65124"/>
  <c r="N27" i="65071"/>
  <c r="F15" i="65124"/>
  <c r="N15" i="65071"/>
  <c r="F14" i="65124"/>
  <c r="N15" i="65070"/>
  <c r="E13" i="65124"/>
  <c r="N12" i="65069"/>
  <c r="D10" i="65125"/>
  <c r="C10" i="65125" s="1"/>
  <c r="N26" i="65099"/>
  <c r="E8" i="65124"/>
  <c r="N12" i="65099"/>
  <c r="D7" i="65125"/>
  <c r="C7" i="65125" s="1"/>
  <c r="N26" i="16"/>
  <c r="K93" i="300"/>
  <c r="K94" i="300"/>
  <c r="K22" i="300"/>
  <c r="E77" i="65137"/>
  <c r="L38" i="65124"/>
  <c r="J114" i="300"/>
  <c r="F114" i="300"/>
  <c r="K38" i="300"/>
  <c r="E14" i="304"/>
  <c r="E41" i="304" s="1"/>
  <c r="G19" i="304"/>
  <c r="F36" i="65124"/>
  <c r="J34" i="65124"/>
  <c r="E8" i="65137"/>
  <c r="D43" i="65124"/>
  <c r="F8" i="65124"/>
  <c r="F38" i="300"/>
  <c r="F35" i="300"/>
  <c r="E23" i="65137"/>
  <c r="M32" i="16"/>
  <c r="E30" i="65137"/>
  <c r="E68" i="65137"/>
  <c r="K43" i="65124"/>
  <c r="F17" i="300"/>
  <c r="F15" i="300" s="1"/>
  <c r="D22" i="304" s="1"/>
  <c r="L20" i="65124"/>
  <c r="K41" i="300"/>
  <c r="E35" i="304"/>
  <c r="F69" i="65137" l="1"/>
  <c r="G69" i="65137" s="1"/>
  <c r="F70" i="65137"/>
  <c r="G70" i="65137" s="1"/>
  <c r="M32" i="65143"/>
  <c r="N32" i="65143" s="1"/>
  <c r="N41" i="65080"/>
  <c r="M49" i="65076"/>
  <c r="M50" i="65076" s="1"/>
  <c r="N50" i="65076" s="1"/>
  <c r="F9" i="65137"/>
  <c r="M34" i="65069"/>
  <c r="M35" i="65069" s="1"/>
  <c r="N52" i="65065"/>
  <c r="N33" i="65069"/>
  <c r="N35" i="65140"/>
  <c r="L12" i="65124"/>
  <c r="N48" i="65076"/>
  <c r="L32" i="65124"/>
  <c r="L35" i="65124"/>
  <c r="L29" i="65124"/>
  <c r="B2" i="65061"/>
  <c r="L31" i="65124"/>
  <c r="N31" i="65115"/>
  <c r="F27" i="304"/>
  <c r="L17" i="65124"/>
  <c r="M42" i="65079"/>
  <c r="N42" i="65079" s="1"/>
  <c r="L41" i="65124"/>
  <c r="N31" i="65098"/>
  <c r="F25" i="65137"/>
  <c r="G25" i="65137" s="1"/>
  <c r="N35" i="65093"/>
  <c r="N31" i="65089"/>
  <c r="N31" i="65086"/>
  <c r="N31" i="65085"/>
  <c r="N31" i="65084"/>
  <c r="N31" i="65083"/>
  <c r="N31" i="65122"/>
  <c r="N31" i="65081"/>
  <c r="N37" i="65078"/>
  <c r="M38" i="65077"/>
  <c r="M39" i="65077" s="1"/>
  <c r="F36" i="304"/>
  <c r="K89" i="300"/>
  <c r="M41" i="65075"/>
  <c r="M42" i="65075" s="1"/>
  <c r="N32" i="65115"/>
  <c r="M32" i="65100"/>
  <c r="N32" i="65100" s="1"/>
  <c r="M33" i="65071"/>
  <c r="N33" i="65071" s="1"/>
  <c r="F29" i="65137"/>
  <c r="G29" i="65137" s="1"/>
  <c r="N31" i="65123"/>
  <c r="K9" i="300"/>
  <c r="K84" i="300"/>
  <c r="K53" i="300"/>
  <c r="K63" i="300"/>
  <c r="K72" i="300"/>
  <c r="F26" i="300"/>
  <c r="L34" i="65124"/>
  <c r="N32" i="65071"/>
  <c r="L23" i="65124"/>
  <c r="M32" i="65098"/>
  <c r="L13" i="65124"/>
  <c r="L21" i="65124"/>
  <c r="L15" i="65124"/>
  <c r="N36" i="65095"/>
  <c r="L9" i="65124"/>
  <c r="L24" i="65124"/>
  <c r="L39" i="65124"/>
  <c r="M37" i="65095"/>
  <c r="M38" i="65095" s="1"/>
  <c r="L30" i="65124"/>
  <c r="L14" i="65124"/>
  <c r="N31" i="65068"/>
  <c r="M32" i="65068"/>
  <c r="L25" i="65124"/>
  <c r="L26" i="65124"/>
  <c r="L44" i="65124"/>
  <c r="K101" i="300"/>
  <c r="F21" i="304"/>
  <c r="N37" i="65077"/>
  <c r="N33" i="65070"/>
  <c r="L36" i="65124"/>
  <c r="F86" i="65137"/>
  <c r="M36" i="65093"/>
  <c r="N31" i="65100"/>
  <c r="N31" i="65082"/>
  <c r="F26" i="65137"/>
  <c r="G26" i="65137" s="1"/>
  <c r="F32" i="65137"/>
  <c r="G32" i="65137" s="1"/>
  <c r="M38" i="65078"/>
  <c r="E43" i="65124"/>
  <c r="K21" i="300"/>
  <c r="N40" i="65075"/>
  <c r="M32" i="65089"/>
  <c r="N41" i="65079"/>
  <c r="L6" i="65124"/>
  <c r="M32" i="65122"/>
  <c r="F52" i="300"/>
  <c r="D25" i="304" s="1"/>
  <c r="L8" i="65124"/>
  <c r="J43" i="65124"/>
  <c r="N49" i="65080"/>
  <c r="N32" i="16"/>
  <c r="M33" i="16"/>
  <c r="G29" i="304"/>
  <c r="D36" i="304"/>
  <c r="D35" i="304" s="1"/>
  <c r="D37" i="304" s="1"/>
  <c r="D45" i="65125"/>
  <c r="F43" i="65124"/>
  <c r="F23" i="304"/>
  <c r="M32" i="65097"/>
  <c r="N31" i="65097"/>
  <c r="M32" i="65096"/>
  <c r="N31" i="65096"/>
  <c r="M32" i="65094"/>
  <c r="N31" i="65094"/>
  <c r="N33" i="65115"/>
  <c r="E30" i="304"/>
  <c r="E32" i="304" s="1"/>
  <c r="D31" i="304"/>
  <c r="D30" i="304" s="1"/>
  <c r="D32" i="304" s="1"/>
  <c r="F26" i="304"/>
  <c r="F31" i="304"/>
  <c r="K105" i="300"/>
  <c r="C45" i="65125"/>
  <c r="K17" i="300"/>
  <c r="K114" i="300"/>
  <c r="G11" i="65137"/>
  <c r="J52" i="300"/>
  <c r="E7" i="65137"/>
  <c r="G18" i="304"/>
  <c r="E37" i="304"/>
  <c r="M33" i="65143" l="1"/>
  <c r="N33" i="65143" s="1"/>
  <c r="N34" i="65069"/>
  <c r="M43" i="65079"/>
  <c r="N43" i="65079" s="1"/>
  <c r="N49" i="65076"/>
  <c r="N38" i="65077"/>
  <c r="G27" i="304"/>
  <c r="M33" i="65141"/>
  <c r="N33" i="65141" s="1"/>
  <c r="N42" i="65075"/>
  <c r="N32" i="65098"/>
  <c r="N32" i="65097"/>
  <c r="N32" i="65096"/>
  <c r="N38" i="65095"/>
  <c r="N37" i="65095"/>
  <c r="M37" i="65093"/>
  <c r="N32" i="65089"/>
  <c r="N32" i="65122"/>
  <c r="N38" i="65078"/>
  <c r="G36" i="304"/>
  <c r="N41" i="65075"/>
  <c r="N35" i="65069"/>
  <c r="N32" i="65068"/>
  <c r="G21" i="304"/>
  <c r="G26" i="304"/>
  <c r="F30" i="304"/>
  <c r="F32" i="304" s="1"/>
  <c r="G23" i="304"/>
  <c r="M33" i="65098"/>
  <c r="M33" i="65068"/>
  <c r="N36" i="65093"/>
  <c r="M39" i="65078"/>
  <c r="F68" i="65137"/>
  <c r="G68" i="65137" s="1"/>
  <c r="G76" i="65137"/>
  <c r="M33" i="65089"/>
  <c r="N39" i="65077"/>
  <c r="G9" i="65137"/>
  <c r="F8" i="65137"/>
  <c r="G8" i="65137" s="1"/>
  <c r="M34" i="16"/>
  <c r="N33" i="16"/>
  <c r="M33" i="65097"/>
  <c r="F23" i="65137"/>
  <c r="G23" i="65137" s="1"/>
  <c r="M33" i="65096"/>
  <c r="G31" i="304"/>
  <c r="N32" i="65094"/>
  <c r="M33" i="65094"/>
  <c r="E20" i="304"/>
  <c r="D24" i="304"/>
  <c r="D20" i="304" s="1"/>
  <c r="D42" i="304" s="1"/>
  <c r="D43" i="304" s="1"/>
  <c r="F35" i="304"/>
  <c r="F24" i="304"/>
  <c r="K26" i="300"/>
  <c r="F25" i="304"/>
  <c r="K52" i="300"/>
  <c r="N33" i="65123"/>
  <c r="N32" i="65123"/>
  <c r="F7" i="300"/>
  <c r="G16" i="304"/>
  <c r="E28" i="304" l="1"/>
  <c r="E33" i="304" s="1"/>
  <c r="E38" i="304" s="1"/>
  <c r="E42" i="304"/>
  <c r="G30" i="304"/>
  <c r="N36" i="65140"/>
  <c r="N33" i="65098"/>
  <c r="N33" i="65097"/>
  <c r="N33" i="65096"/>
  <c r="N33" i="65094"/>
  <c r="N37" i="65093"/>
  <c r="N33" i="65089"/>
  <c r="N39" i="65078"/>
  <c r="N33" i="65068"/>
  <c r="N34" i="16"/>
  <c r="G25" i="304"/>
  <c r="G32" i="304"/>
  <c r="G24" i="304"/>
  <c r="F77" i="65137"/>
  <c r="G86" i="65137"/>
  <c r="D28" i="304"/>
  <c r="D33" i="304" s="1"/>
  <c r="D38" i="304" s="1"/>
  <c r="F37" i="304"/>
  <c r="G35" i="304"/>
  <c r="E43" i="304" l="1"/>
  <c r="G37" i="304"/>
  <c r="G77" i="65137"/>
  <c r="G17" i="304" l="1"/>
  <c r="N9" i="65105" l="1"/>
  <c r="M8" i="65105"/>
  <c r="C42" i="65124"/>
  <c r="C43" i="65124" s="1"/>
  <c r="N8" i="65105" l="1"/>
  <c r="M31" i="65105"/>
  <c r="L42" i="65124"/>
  <c r="L43" i="65124" s="1"/>
  <c r="J15" i="300"/>
  <c r="C128" i="300" l="1"/>
  <c r="J7" i="300"/>
  <c r="F39" i="65137"/>
  <c r="F30" i="65137" s="1"/>
  <c r="F7" i="65137" s="1"/>
  <c r="M32" i="65105"/>
  <c r="M33" i="65105" s="1"/>
  <c r="N31" i="65105"/>
  <c r="K15" i="300"/>
  <c r="F22" i="304"/>
  <c r="N33" i="65105" l="1"/>
  <c r="N32" i="65105"/>
  <c r="G22" i="304"/>
  <c r="K7" i="300"/>
  <c r="G39" i="65137"/>
  <c r="K119" i="300"/>
  <c r="F20" i="304"/>
  <c r="F42" i="304" s="1"/>
  <c r="G42" i="304" s="1"/>
  <c r="G30" i="65137"/>
  <c r="G7" i="65137"/>
  <c r="G20" i="304" l="1"/>
  <c r="F53" i="65139"/>
  <c r="G53" i="65139" l="1"/>
  <c r="F48" i="65139"/>
  <c r="G48" i="65139" l="1"/>
  <c r="F47" i="65139"/>
  <c r="G47" i="65139" l="1"/>
  <c r="F5" i="65139"/>
  <c r="G5" i="65139" l="1"/>
  <c r="F15" i="304"/>
  <c r="F181" i="65139"/>
  <c r="F14" i="304" l="1"/>
  <c r="G15" i="304"/>
  <c r="G181" i="65139"/>
  <c r="F249" i="65139"/>
  <c r="F41" i="304" l="1"/>
  <c r="F43" i="304" s="1"/>
  <c r="G43" i="304" s="1"/>
  <c r="G249" i="65139"/>
  <c r="F256" i="65139"/>
  <c r="D2" i="65061" s="1"/>
  <c r="G14" i="304"/>
  <c r="F28" i="304"/>
  <c r="G41" i="304" l="1"/>
  <c r="C2" i="65061"/>
  <c r="A3" i="65061" s="1"/>
  <c r="G256" i="65139"/>
  <c r="F33" i="304"/>
  <c r="G28" i="304"/>
  <c r="F38" i="304" l="1"/>
  <c r="L45" i="65124"/>
  <c r="L46" i="65124" s="1"/>
  <c r="G33" i="304"/>
  <c r="G38" i="304" l="1"/>
</calcChain>
</file>

<file path=xl/sharedStrings.xml><?xml version="1.0" encoding="utf-8"?>
<sst xmlns="http://schemas.openxmlformats.org/spreadsheetml/2006/main" count="2780" uniqueCount="906">
  <si>
    <t>Bosna i Hercegovina
Federacija Bosne i 
Hercegovine
Županija Posavska
S K U P Š T I N A</t>
  </si>
  <si>
    <t>Bosnia and Herzegovina
Federation of Bosnia and Herzegovina
Posavina County
THE ASSEMBLY</t>
  </si>
  <si>
    <t>SADRŽAJ</t>
  </si>
  <si>
    <t>RB</t>
  </si>
  <si>
    <t>O P I S</t>
  </si>
  <si>
    <t>Stranica</t>
  </si>
  <si>
    <t xml:space="preserve">Opći dio </t>
  </si>
  <si>
    <t>Ministarstvo prosvjete... - Osn.škola Ruđera Boškovića u Donjoj Mahali</t>
  </si>
  <si>
    <t>Prihodi, primici i financiranje</t>
  </si>
  <si>
    <t>Ministarstvo prosvjete... - Osnovna škola Fra Ilije Starčevića u Tolisi</t>
  </si>
  <si>
    <t>Rashodi i izdaci</t>
  </si>
  <si>
    <t>32.</t>
  </si>
  <si>
    <t>Ministarstvo prosvjete... - Osnovna škola Stjepana Radića u Boku</t>
  </si>
  <si>
    <t>Posebni dio</t>
  </si>
  <si>
    <t>33.</t>
  </si>
  <si>
    <t>Ministarstvo prosvjete.. - Osnovna škola Antuna Gustava Matoša u Vidovicama</t>
  </si>
  <si>
    <t>Skupština Županije Posavske</t>
  </si>
  <si>
    <t>34.</t>
  </si>
  <si>
    <t>Ministarstvo prosvjete... - Osnovna škola Braće Radića u Domaljevcu</t>
  </si>
  <si>
    <t>Vlada Županije Posavske</t>
  </si>
  <si>
    <t>35.</t>
  </si>
  <si>
    <t>Ministarstvo branitelja Županije Posavske</t>
  </si>
  <si>
    <t>Vlada ŽP - Ured za zakonodavstvo Vlade Županije Posavske</t>
  </si>
  <si>
    <t>36.</t>
  </si>
  <si>
    <t>Agencija za privatizaciju u Županiji Posavskoj</t>
  </si>
  <si>
    <t>Vlada ŽP - Služba za odnose s javnošću Vlade Županije Posavske</t>
  </si>
  <si>
    <t>37.</t>
  </si>
  <si>
    <t>Županijska uprava civilne zaštite</t>
  </si>
  <si>
    <t>38.</t>
  </si>
  <si>
    <t>Kantonalni sud Odžak</t>
  </si>
  <si>
    <t>Vlada ŽP - Ured za obnovu, stambeno zbrinjavanje i raseljene osobe Vlade ŽP</t>
  </si>
  <si>
    <t>39.</t>
  </si>
  <si>
    <t>Županijsko pravobraniteljstvo</t>
  </si>
  <si>
    <t>Zajednička služba Vlade Županije Posavske</t>
  </si>
  <si>
    <t>40.</t>
  </si>
  <si>
    <t>Kantonalno tužiteljstvo Posavskog kantona Orašje</t>
  </si>
  <si>
    <t>Ministarstvo unutarnjih poslova Županije Posavske</t>
  </si>
  <si>
    <t>41.</t>
  </si>
  <si>
    <t>Županijska uprava za inspekcijske poslove</t>
  </si>
  <si>
    <t>Ministarstvo pravosuđa i uprave Županije Posavske</t>
  </si>
  <si>
    <t>42.</t>
  </si>
  <si>
    <t>Ministarstvo pravosuđa i uprave ŽP - Općinski sud u Orašju</t>
  </si>
  <si>
    <t>43.</t>
  </si>
  <si>
    <t>Ministarstvo pravosuđa i uprave ŽP - Općinsko pravobraniteljstvo Orašje</t>
  </si>
  <si>
    <t>44.</t>
  </si>
  <si>
    <t>Ministarstvo pravosuđa i uprave ŽP - Općinsko pravobraniteljstvo Odžak</t>
  </si>
  <si>
    <t>45.</t>
  </si>
  <si>
    <t>Završne odredbe</t>
  </si>
  <si>
    <t>Ministarstvo pravosuđa i uprave ŽP - Žup.Zavod za pružanje prav.pomoći</t>
  </si>
  <si>
    <t>Ministarstvo pravosuđa i uprave ŽP - Županijski arhiv</t>
  </si>
  <si>
    <t>Ministarstvo gospodarstva, rada i prostornog uređenja Žup.Posavske</t>
  </si>
  <si>
    <t>Ministarstvo financija Županije Posavske</t>
  </si>
  <si>
    <t>Ministarstvo zdravstva i socijalne politike Županije Posavske</t>
  </si>
  <si>
    <t>Ministarstvo prometa, veza i zaštite okoliša Županije Posavske</t>
  </si>
  <si>
    <t>Ministarstvo poljoprivrede, vodoprivrede i šumarstva Žup.Posavske</t>
  </si>
  <si>
    <t>Ministarstvo prosvjete, znanosti, kulture i sporta Županije Posavske</t>
  </si>
  <si>
    <t>Ministarstvo prosvjete... - Srednja škola Pere Zečevića u Odžaku</t>
  </si>
  <si>
    <t>Ministarstvo prosvjete... - Školski centar Fra Martina Nedića u Orašju</t>
  </si>
  <si>
    <t>Ministarstvo prosvjete... - Srednja strukovna škola Orašje u Orašju</t>
  </si>
  <si>
    <t>Ministarstvo prosvjete... - Osnovna škola Orašje u Orašju</t>
  </si>
  <si>
    <t>Ministarstvo prosvjete... - Osnovna škola Vladimira Nazora u Odžaku</t>
  </si>
  <si>
    <t>PRORAČUN</t>
  </si>
  <si>
    <t>I  OPĆI DIO</t>
  </si>
  <si>
    <t>Članak 1.</t>
  </si>
  <si>
    <t>Ekonomski 
kod</t>
  </si>
  <si>
    <t>INDEKS</t>
  </si>
  <si>
    <t>6=5/3</t>
  </si>
  <si>
    <t xml:space="preserve">   1. PRORAČUNSKI PRIHODI (1.1.+1.2.+1.3.+1.4.+1.5.)</t>
  </si>
  <si>
    <t xml:space="preserve">     1.1.  Prihodi od poreza</t>
  </si>
  <si>
    <t xml:space="preserve">     1.2.  Neporezni prihodi</t>
  </si>
  <si>
    <t xml:space="preserve">     1.3.  Tekući grantovi (grantovi i donacije)</t>
  </si>
  <si>
    <t xml:space="preserve">     1.4.  Kapitalni grantovi</t>
  </si>
  <si>
    <t xml:space="preserve">     1.5.  Prihodi po osnovi zaostalih obveza</t>
  </si>
  <si>
    <t xml:space="preserve">   2. PRORAČUNSKI RASHODI (2.1.+2.2.)</t>
  </si>
  <si>
    <t xml:space="preserve">     2.1.  Rashodi - Tekuća pričuva</t>
  </si>
  <si>
    <t xml:space="preserve">     2.2.  Plaće i naknade troškova zaposlenih</t>
  </si>
  <si>
    <t xml:space="preserve">     2.3.  Doprinosi poslodavca i ostali doprinosi</t>
  </si>
  <si>
    <t xml:space="preserve">     2.4.  Izdaci za materijal, sitan inventar i usluge</t>
  </si>
  <si>
    <t xml:space="preserve">     2.5.  Tekući grantovi i drugi tekući rashodi</t>
  </si>
  <si>
    <t xml:space="preserve">     2.6.  Kapitalni grantovi</t>
  </si>
  <si>
    <t xml:space="preserve">     2.7.  Izdaci za kamate</t>
  </si>
  <si>
    <t xml:space="preserve">   3. TEKUĆA BILANCA (1-2)</t>
  </si>
  <si>
    <t xml:space="preserve">   4. PRIMICI OD PRODAJE NEFINANCIJSKE IMOVINE</t>
  </si>
  <si>
    <t xml:space="preserve">   5. IZDACI ZA NABAVKU NEFINANCIJSKE IMOVINE</t>
  </si>
  <si>
    <t xml:space="preserve">       5.1.  Izdaci za nabavku stalnih sredstava</t>
  </si>
  <si>
    <t xml:space="preserve">   6. NETO NABAVKA NEFINANCIJSKE IMOVINE (4-5)</t>
  </si>
  <si>
    <t xml:space="preserve">   7. UKUPAN SUFICIT/DEFICIT (3+6)</t>
  </si>
  <si>
    <t xml:space="preserve">   8. PRIMICI OD FINANCIJSKE IMOVINE I ZADUŽIVANJA</t>
  </si>
  <si>
    <t>813, 814, 815</t>
  </si>
  <si>
    <t xml:space="preserve">   9. IZDACI ZA NABAVKU FINANCIJSKE IMOVINE I OTPLATE DUGOVA</t>
  </si>
  <si>
    <t>822, 823</t>
  </si>
  <si>
    <t xml:space="preserve">       9.1.  Izdaci za otplate dugova</t>
  </si>
  <si>
    <t xml:space="preserve">   10. NETO FINANCIRANJE (8-9)</t>
  </si>
  <si>
    <t xml:space="preserve">   11. UKUPAN FINANCIJSKI REZULTAT (7+10)</t>
  </si>
  <si>
    <t xml:space="preserve">   UKUPNO RASHODI I IZDACI</t>
  </si>
  <si>
    <t xml:space="preserve">   UKUPNO POKRIĆE AKUMULIRANOG DEFICITA</t>
  </si>
  <si>
    <t>Članak 2.</t>
  </si>
  <si>
    <t>I - PRIHODI, PRIMICI I FINANCIRANJE</t>
  </si>
  <si>
    <t>Ekonomski kod</t>
  </si>
  <si>
    <t>OPIS</t>
  </si>
  <si>
    <t>6=5/4</t>
  </si>
  <si>
    <t>I PRIHODI OD POREZA</t>
  </si>
  <si>
    <t>1.Porez na dobit pojedinaca i poduzeća</t>
  </si>
  <si>
    <t xml:space="preserve">   Porezi na dobit pojedinaca (zaostale uplate poreza)</t>
  </si>
  <si>
    <t xml:space="preserve">   Porez na dobit od gospodarskih i profesionalnih djelatnosti</t>
  </si>
  <si>
    <t xml:space="preserve">   Porez na dobit od poljoprivrednih djelatnosti</t>
  </si>
  <si>
    <t xml:space="preserve">   Porez na temelju autorskih prava, patenata i tehn.unapređenja</t>
  </si>
  <si>
    <t xml:space="preserve">   Porez na ukupan prihod fizičkih osoba</t>
  </si>
  <si>
    <t xml:space="preserve">   Porez na prihod od imovine i imovinskih prava</t>
  </si>
  <si>
    <t xml:space="preserve">   Porez na dobit poduzeća</t>
  </si>
  <si>
    <t xml:space="preserve">   Porez na dobit</t>
  </si>
  <si>
    <t xml:space="preserve">   Porez po odbitku</t>
  </si>
  <si>
    <t>2.Porezi na plaću i radnu snagu (zaostale uplate poreza)</t>
  </si>
  <si>
    <t xml:space="preserve">   Porezi na plaće (zaostale uplate poreza)</t>
  </si>
  <si>
    <t xml:space="preserve">   Porezi na plaću i druga osobna primanja</t>
  </si>
  <si>
    <t xml:space="preserve">   Porezi na dodatna primanja</t>
  </si>
  <si>
    <t>3.Porez na imovinu</t>
  </si>
  <si>
    <t xml:space="preserve">   Porez na imovinu</t>
  </si>
  <si>
    <t xml:space="preserve">   Porez na imovinu od fizičkih osoba</t>
  </si>
  <si>
    <t xml:space="preserve">   Porez na imovinu od pravnih osoba</t>
  </si>
  <si>
    <t xml:space="preserve">   Porez na imovinu za motorna vozila</t>
  </si>
  <si>
    <t xml:space="preserve">   Porez na naslijeđe i darove</t>
  </si>
  <si>
    <t xml:space="preserve">   Porez na promet nepokretnosti - fizičkih osoba</t>
  </si>
  <si>
    <t xml:space="preserve">   Porez na promet nepokretnosti - pravnih osoba</t>
  </si>
  <si>
    <t>4.Domaći porezi na dobra i usluge (zaostale obveze na 
   temelju poreza na promet dobara i usluga)</t>
  </si>
  <si>
    <t xml:space="preserve">   Porezi na prodaju dobara i usluga, ukupni promet ili 
   dodanu vrijednost</t>
  </si>
  <si>
    <t xml:space="preserve">   Porez na promet proizvoda (opća stopa od 20%)</t>
  </si>
  <si>
    <t xml:space="preserve">   Porez na promet proizvoda (niža stopa)</t>
  </si>
  <si>
    <t xml:space="preserve">   Kaznena kamata</t>
  </si>
  <si>
    <t xml:space="preserve">   Porez na promet usluga, osim usluga u građevinarstvu</t>
  </si>
  <si>
    <t xml:space="preserve">   Porez na promet posebnih usluga</t>
  </si>
  <si>
    <t xml:space="preserve">   Porez na dobitke od igara na sreću</t>
  </si>
  <si>
    <t xml:space="preserve">   Ostali porezi na promet proizvoda i usluga</t>
  </si>
  <si>
    <t xml:space="preserve">   Porez na promet osnovnih proizvoda poljoprivrede, ribarstva i 
   proizvoda koji služe za ljudsku prehranu</t>
  </si>
  <si>
    <t>5.Porez na dohodak</t>
  </si>
  <si>
    <t xml:space="preserve">   Porez na dohodak</t>
  </si>
  <si>
    <t xml:space="preserve">   Prihodi od poreza na dohodak fiz.osoba od nesam.djelatnosti</t>
  </si>
  <si>
    <t xml:space="preserve">   Prihodi od poreza na dohodak fizi.osoba od samost.djelatnosti</t>
  </si>
  <si>
    <t xml:space="preserve">   Prihodi od poreza na dohodak fiz.os.od imovine i imov.prava</t>
  </si>
  <si>
    <t xml:space="preserve">   Prihodi od poreza na dohodak fiz.osoba od ulaganja kapitala</t>
  </si>
  <si>
    <t xml:space="preserve">   Prihodi od poreza na dohodak fizičkih osoba na dobitke od 
   nagradnih igara i igara na sreću</t>
  </si>
  <si>
    <t xml:space="preserve">   Prihodi od poreza na dohodak od dr.samostalnih djelatnosti</t>
  </si>
  <si>
    <t xml:space="preserve">   Prihodi od poreza na dohodak po konačnom obračunu</t>
  </si>
  <si>
    <t>6.Prihodi od neizravnih poreza</t>
  </si>
  <si>
    <t xml:space="preserve">   Prihodi od neizravnih poreza</t>
  </si>
  <si>
    <t xml:space="preserve">   Prihodi od neizravnih poreza na ime financ.autocesta u FBiH</t>
  </si>
  <si>
    <r>
      <t xml:space="preserve">    o/t Prihodi od neizravnih poreza na ime financ.autocesta u FBiH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</si>
  <si>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o/t Prihodi od neizravnih poreza na ime financ.autocesta u FBiH</t>
  </si>
  <si>
    <t xml:space="preserve">   Prihodi od neizravnih poreza koji pripadaju županijama</t>
  </si>
  <si>
    <t xml:space="preserve">   Prihodi od neizravnih poreza koji pripadaju Direkciji cesta</t>
  </si>
  <si>
    <r>
      <t xml:space="preserve">    o/t Prihodi od neizravnih poreza koji pripadaju Direkciji cesta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</si>
  <si>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o/t Prihodi od neizravnih poreza koji pripadaju Direkciji cesta</t>
  </si>
  <si>
    <t>7.Ostali porezi</t>
  </si>
  <si>
    <t xml:space="preserve">   Ostali porezi</t>
  </si>
  <si>
    <t xml:space="preserve">   Pos.porez na plaću za zašt.od prir.i dr.nesr.(zaost.obveze)</t>
  </si>
  <si>
    <t xml:space="preserve">   Poseban porez za zaštitu od prirodnih i drugih nesreća po 
   osnovi ugovora o djelu i povr.i privr.poslova (zaostale obveze)</t>
  </si>
  <si>
    <t>II NEPOREZNI PRIHODI</t>
  </si>
  <si>
    <t>1.Prihodi od poduzetničkih aktivnosti i imovine i prihodi od pozitivnih tečajnih razlika</t>
  </si>
  <si>
    <t xml:space="preserve">   Prihodi od nefinanc.jav.poduzeća i financ.jav.institucija</t>
  </si>
  <si>
    <t xml:space="preserve">   Prihodi od davanja prava na eksploataciju prirodnih resursa</t>
  </si>
  <si>
    <t xml:space="preserve">   Prihodi od iznajmljivanja zemljišta</t>
  </si>
  <si>
    <t xml:space="preserve">   Prihodi od iznajmljivanja vozila</t>
  </si>
  <si>
    <t xml:space="preserve">   Ostali prihodi od imovine</t>
  </si>
  <si>
    <t xml:space="preserve">   Prihodi od kamate za depozite u banci</t>
  </si>
  <si>
    <t xml:space="preserve">   Prihodi od zakupa javnog vodnog dobra na površ.vodama I kateg.</t>
  </si>
  <si>
    <t xml:space="preserve">   Prihodi od zakupa korištenja sportsko-gospodarskih lovišta</t>
  </si>
  <si>
    <t xml:space="preserve">   Kamata i divid.primljene od pozajmica i udj.u kapitalu</t>
  </si>
  <si>
    <t xml:space="preserve">   Kamate primljene od pozajmica Državi</t>
  </si>
  <si>
    <t xml:space="preserve">   Kamate primljene od pozajmica Federaciji</t>
  </si>
  <si>
    <t xml:space="preserve">   Prihodi od pozitivnih tečajnih razlika</t>
  </si>
  <si>
    <t xml:space="preserve">   Prihodi od privatizacije</t>
  </si>
  <si>
    <t xml:space="preserve">   Prihodi od privatizacije poduzeća</t>
  </si>
  <si>
    <t xml:space="preserve">   Prihodi po osnovi premije i provizije za izdano jamstvo</t>
  </si>
  <si>
    <t xml:space="preserve">   Prihodi po osnovi obračunate provizije za izdano jamstvo</t>
  </si>
  <si>
    <t xml:space="preserve">2.Naknade i pristojbe i prihodi od pružanja javnih usluga </t>
  </si>
  <si>
    <t xml:space="preserve">   Administrativne pristojbe</t>
  </si>
  <si>
    <t xml:space="preserve">   Županijske administrativne pristojbe</t>
  </si>
  <si>
    <t xml:space="preserve">   Sudske pristojbe</t>
  </si>
  <si>
    <t xml:space="preserve">   Županijske sudske pristojbe</t>
  </si>
  <si>
    <t xml:space="preserve">   Ostale proračunske naknade</t>
  </si>
  <si>
    <t xml:space="preserve">   Županijske naknade</t>
  </si>
  <si>
    <t xml:space="preserve">   Naknade za korištenje poljopr.zemljišta u nepoljopr.svrhe</t>
  </si>
  <si>
    <r>
      <t xml:space="preserve">      19010001 Minist.poljopr., vodoprivrede i šumarstva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</si>
  <si>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19010001 Minist.poljopr., vodoprivrede i šumarstva</t>
  </si>
  <si>
    <t xml:space="preserve">   Naknada za obavljeni tehn.pregl.vozila koja pripada županijama</t>
  </si>
  <si>
    <t xml:space="preserve">   Ostale županijske naknade</t>
  </si>
  <si>
    <t xml:space="preserve">   Naknade za korištenje šuma</t>
  </si>
  <si>
    <t xml:space="preserve">   Naknada za opće korisne funkcije šuma</t>
  </si>
  <si>
    <t xml:space="preserve">   Naknada za korištenje državnih šuma</t>
  </si>
  <si>
    <t xml:space="preserve">   Naknade za korištenje, zaštitu i unapređenje šuma 
   utvrđene županijskim propisima</t>
  </si>
  <si>
    <t xml:space="preserve">   Naknada za opće korisne funkc.šuma utvrđene žup.propisima</t>
  </si>
  <si>
    <r>
      <t xml:space="preserve">      19010001 Minist.poljopr., vodoprivrede i šumarstva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</si>
  <si>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Naknada za obavljanje stručnih poslova u privatnim šumama 
   utvrđena županijskim propisima</t>
  </si>
  <si>
    <t xml:space="preserve">   Ostali prih.za korišt., zaštitu i unapređ.šuma po žup.propisima</t>
  </si>
  <si>
    <t xml:space="preserve">   Naknade i pristojbe po Fed.zakonima i dr.propisima</t>
  </si>
  <si>
    <t xml:space="preserve">   Naknade i pristojbe za veterinarske i sanitarne preglede 
   životinja i biljaka</t>
  </si>
  <si>
    <t xml:space="preserve">   Federalna naknada za uvjerenje o veterin.-zdravstvenom 
   stanju životinja iz uvoza</t>
  </si>
  <si>
    <t xml:space="preserve">   Federalna naknada za izvršene veterinarsko-zdravstvene 
   preglede i kontrolu u zemlji</t>
  </si>
  <si>
    <t xml:space="preserve">   Naknada za korištenje podataka premjera i katastra</t>
  </si>
  <si>
    <t xml:space="preserve">   Naknada za vršenje usluga iz oblasti premjera i katastra</t>
  </si>
  <si>
    <t xml:space="preserve">   Vodne naknade</t>
  </si>
  <si>
    <t xml:space="preserve">   Posebna vodna naknada za zaštitu voda za transportna 
   sredstva koja za pogon koriste naftu ili naftne derivate</t>
  </si>
  <si>
    <r>
      <t xml:space="preserve">      99999999 Riznica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</si>
  <si>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   99999999 Riznica</t>
  </si>
  <si>
    <t xml:space="preserve">   Posebna vodna naknada za zaštitu voda (ispuštanje otpadnih 
   voda, uzgoj ribe, upotrebu umj.đubriva i kemik.za zašt.bilja)</t>
  </si>
  <si>
    <t xml:space="preserve">   Posebna vodna naknada za korištenje površinskih i 
   podzemnih voda za javnu vodoopskrbu</t>
  </si>
  <si>
    <t xml:space="preserve">   Poseb.vodna naknada za korištenje površ.i podzem.voda za
   flaš.vode i min.vode za uzgoj ribe u ribnj.za navod.i dr.namj.</t>
  </si>
  <si>
    <t xml:space="preserve">   Posebna vodna naknada za korištenje površ..i podzemnih 
   voda za industrijske procese, uključujući i termoelektrane</t>
  </si>
  <si>
    <t xml:space="preserve">   Posebna vodna naknada za korištenje vode za proizvodnju 
   električne energije</t>
  </si>
  <si>
    <t xml:space="preserve">   Posebna vodna naknada za vađenje materijala iz vodotoka</t>
  </si>
  <si>
    <t xml:space="preserve">   Posebna vodna naknada za zaštitu od poplava</t>
  </si>
  <si>
    <t xml:space="preserve">   Opća vodna naknada</t>
  </si>
  <si>
    <t xml:space="preserve">   Cestovne naknade</t>
  </si>
  <si>
    <t xml:space="preserve">   Naknada za uporabu cesta za vozila pravnih osoba</t>
  </si>
  <si>
    <t xml:space="preserve">   Naknada za uporabu cesta za vozila građana</t>
  </si>
  <si>
    <t xml:space="preserve">   Naknada za postavljanje reklamnih panoa</t>
  </si>
  <si>
    <t xml:space="preserve">   Zaostale obveze po osnovi naknada za korištenje šuma</t>
  </si>
  <si>
    <t xml:space="preserve">   Naknada za korištenje općekorisnih funkcija šuma</t>
  </si>
  <si>
    <t xml:space="preserve">   Naknada za zaštitu okoliša</t>
  </si>
  <si>
    <t xml:space="preserve">   Naknada zagađivača okoliša pravnih osoba</t>
  </si>
  <si>
    <t xml:space="preserve">   Naknada zagađivača okoliša fizičkih osoba</t>
  </si>
  <si>
    <t xml:space="preserve">   Posebne naknade za okoliš koje plaćaju pravne osobe pri 
   svakoj registraciji motornih vozila</t>
  </si>
  <si>
    <t xml:space="preserve">   Posebne naknade za okoliš koje plaćaju fizičke osobe pri 
   svakoj registraciji motornih vozila</t>
  </si>
  <si>
    <t xml:space="preserve">   Posebne naknade za zaštitu od prirodnih i dr.nesreća</t>
  </si>
  <si>
    <t xml:space="preserve">   Posebna naknada za zaštitu od prirodnih i drugih nesreća 
   gdje je osnovica sumarni iznos neto plaće za isplatu</t>
  </si>
  <si>
    <r>
      <t xml:space="preserve">      23010001 Uprava za civilnu zaštitu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</si>
  <si>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23010001 Uprava za civilnu zaštitu</t>
  </si>
  <si>
    <t xml:space="preserve">   Posebna naknada za zaštitu od prir.i drugih nesreća gdje 
   je osnovica sumarni iznos neto prim.po osnovi dr.samostalne 
   djelatnosti i povremenog samostalnog rada</t>
  </si>
  <si>
    <t xml:space="preserve">   Naknada za vatrogasne jedinice iz premije osiguranja imovine 
   od požara i prirodnih sila</t>
  </si>
  <si>
    <t xml:space="preserve">   Naknada iz funkcionalne premije osiguranja od 
   autoodgovornosti za vatrogasne jedinice</t>
  </si>
  <si>
    <t xml:space="preserve">   Naknada za zajedničke profesionalne vatrogasne jedinice iz 
   premije osiguranja imovine od požara i prirodnih sila</t>
  </si>
  <si>
    <t xml:space="preserve">   Naknada za zajedničke profesionalne vatrogasne jedinice iz 
   funkcionalne premije osiguranja motornih vozila</t>
  </si>
  <si>
    <t xml:space="preserve">   Prihodi od pružanja javnih usluga</t>
  </si>
  <si>
    <t xml:space="preserve">   Prihodi od pružanja usluga građanima</t>
  </si>
  <si>
    <t xml:space="preserve">   Prihodi od pružanja usluga pravnim osobama</t>
  </si>
  <si>
    <t xml:space="preserve">   Prihodi od pružanja usluga drugima</t>
  </si>
  <si>
    <t xml:space="preserve">   Prihodi od pružanja usluga drugim razinama vlasti</t>
  </si>
  <si>
    <t xml:space="preserve">   Prihodi od mjenice</t>
  </si>
  <si>
    <t xml:space="preserve">   Povrati naknada troškova zaposlenih</t>
  </si>
  <si>
    <t xml:space="preserve">   Ostali povrati</t>
  </si>
  <si>
    <t xml:space="preserve">   Prihodi od trošk.naplate po osn.pokret.postupka prin.naplate</t>
  </si>
  <si>
    <t xml:space="preserve">   Naplate premija osiguranja</t>
  </si>
  <si>
    <t xml:space="preserve">   Ostale neplanirane uplate</t>
  </si>
  <si>
    <t>3.Novčane kazne</t>
  </si>
  <si>
    <t xml:space="preserve">   Novčane kazne</t>
  </si>
  <si>
    <t xml:space="preserve">   Novčane kazne po županijskim propisima</t>
  </si>
  <si>
    <t xml:space="preserve">   Ostale kazne</t>
  </si>
  <si>
    <t xml:space="preserve">   Novčane kazne za prekršaje koje su registrirane u registru 
   novčanih kazni i troškovi prekršajnog postupka</t>
  </si>
  <si>
    <t xml:space="preserve">   Ostali prihodi</t>
  </si>
  <si>
    <t>UKUPNO POREZNI I NEPOREZNI PRIHODI (I+II)</t>
  </si>
  <si>
    <t>III TEKUĆI GRANTOVI (GRANTOVI I DONACIJE)</t>
  </si>
  <si>
    <t>1. Primljeni tekući grantovi od inozemnih vlada i 
   međunarodnih organizacija</t>
  </si>
  <si>
    <t xml:space="preserve">   Primljeni tekući grantovi od inoz.vlada i međ.organizacija</t>
  </si>
  <si>
    <t xml:space="preserve">   Primljeni tekući grantovi od inozemnih vlada</t>
  </si>
  <si>
    <t xml:space="preserve">   Primljeni tekući grantovi od međunarodnih organizacija</t>
  </si>
  <si>
    <t>2. Primljeni tekući grantovi od ostalih razina vlasti</t>
  </si>
  <si>
    <t xml:space="preserve">   Primljeni tekući grantovi od ostalih razina vlasti i fondova</t>
  </si>
  <si>
    <t xml:space="preserve">   Primljeni tekući grantovi od ostalih razina vlasti</t>
  </si>
  <si>
    <t xml:space="preserve">   Primljeni tekući grantovi od Države</t>
  </si>
  <si>
    <t xml:space="preserve">   Primljeni tekući grantovi od FBiH</t>
  </si>
  <si>
    <t xml:space="preserve">   Grantovi od izvanproračunskih fondova</t>
  </si>
  <si>
    <t xml:space="preserve">   Grant od Federalnog zavoda za zapošljavanje - pripravnici</t>
  </si>
  <si>
    <t xml:space="preserve">   Grant od Federalnog zavoda za zapošljavanje - osnovne škole</t>
  </si>
  <si>
    <t>3. Donacije</t>
  </si>
  <si>
    <t xml:space="preserve">   Donacije</t>
  </si>
  <si>
    <t xml:space="preserve">   Domaće donacije</t>
  </si>
  <si>
    <t xml:space="preserve">   Donacije iz inozemstva</t>
  </si>
  <si>
    <t>IV KAPITALNI GRANTOVI</t>
  </si>
  <si>
    <t>1. Primljeni kapitalni grantovi od inozemnih vlada i 
   međunarodnih organizacija</t>
  </si>
  <si>
    <t xml:space="preserve">   Primljeni kapitalni grantovi od inozemnih vlada i 
   međunarodnih organizacija</t>
  </si>
  <si>
    <t xml:space="preserve">   Primljeni kapitalni grantovi od inozemnih vlada</t>
  </si>
  <si>
    <t>2. Kapitalni grantovi od ostalih razina vlasti</t>
  </si>
  <si>
    <t xml:space="preserve">   Kapitalni grantovi od ostalih razina vlasti i fondova</t>
  </si>
  <si>
    <t xml:space="preserve">   Primljeni kapitalni grantovi od Federacije</t>
  </si>
  <si>
    <t xml:space="preserve">   Kapitalni grantovi od općina</t>
  </si>
  <si>
    <t xml:space="preserve">   Kapitalni grantovi od nevladinih izvora</t>
  </si>
  <si>
    <t>V  PRIHODI PO OSNOVI ZAOSTALIH OBVEZA</t>
  </si>
  <si>
    <t xml:space="preserve">   Uplate zaostalih obveza od por.na promet visokotar.proizvoda</t>
  </si>
  <si>
    <t xml:space="preserve">   Uplate zaost.obveza od nakn.za puteve iz cijene naft.derivata</t>
  </si>
  <si>
    <t>UKUPNO PRIHODI (I+II+III+IV+V)</t>
  </si>
  <si>
    <t>VI KAPITALNI PRIMICI</t>
  </si>
  <si>
    <t>1.Kapitalni primici od prodaje stalnih sredstava</t>
  </si>
  <si>
    <t xml:space="preserve">   Kapitalni primici od prodaje stalnih sredstava</t>
  </si>
  <si>
    <t xml:space="preserve">   Primici od prodaje prometnih vozila</t>
  </si>
  <si>
    <t>UKUPNO PRIHODI, TEKUĆI I KAPITALNI GRANTOVI I PRIMICI:</t>
  </si>
  <si>
    <t xml:space="preserve">II - RASHODI I IZDACI  </t>
  </si>
  <si>
    <t>Ministarstvo
(razdjel)</t>
  </si>
  <si>
    <t>Ekon. 
kod</t>
  </si>
  <si>
    <t>Subanalitika</t>
  </si>
  <si>
    <t>iz prorač.
sredstava</t>
  </si>
  <si>
    <t>iz ostalih izvora</t>
  </si>
  <si>
    <t>UKUPNO</t>
  </si>
  <si>
    <t>7=5+6</t>
  </si>
  <si>
    <t>8=7/4</t>
  </si>
  <si>
    <t xml:space="preserve"> UKUPNI IZDACI </t>
  </si>
  <si>
    <t xml:space="preserve"> Rashodi - Tekuća pričuva</t>
  </si>
  <si>
    <t xml:space="preserve"> Tekuća pričuva Vlade</t>
  </si>
  <si>
    <t xml:space="preserve"> Tekuća pričuva predsjednika Vlade</t>
  </si>
  <si>
    <t xml:space="preserve"> Tekuća pričuva zamjenika pred. Vlade</t>
  </si>
  <si>
    <t xml:space="preserve"> Tekuća pričuva ministra financija</t>
  </si>
  <si>
    <t xml:space="preserve"> Plaće i naknade troškova zaposlenih</t>
  </si>
  <si>
    <t xml:space="preserve"> Bruto plaće i naknade plaća</t>
  </si>
  <si>
    <t xml:space="preserve"> Naknade troškova zaposlenih</t>
  </si>
  <si>
    <t xml:space="preserve"> o/č Naknade troškova zaposlenih</t>
  </si>
  <si>
    <t>BA6017</t>
  </si>
  <si>
    <t xml:space="preserve"> Doprinosi poslodavca i ostali doprinosi</t>
  </si>
  <si>
    <t xml:space="preserve"> Doprinosi poslodavca</t>
  </si>
  <si>
    <t>DA6001</t>
  </si>
  <si>
    <t xml:space="preserve"> Doprinosi za beneficirani radni staž 1996-1998</t>
  </si>
  <si>
    <t xml:space="preserve"> Izdaci za materijal, sitan inv. i usluge</t>
  </si>
  <si>
    <t xml:space="preserve"> Putni troškovi</t>
  </si>
  <si>
    <t xml:space="preserve"> Izdaci za energiju</t>
  </si>
  <si>
    <t xml:space="preserve"> Izdaci za komunikaciju i komunalne usluge</t>
  </si>
  <si>
    <t xml:space="preserve"> Nabavka materijala i sitnog inventara</t>
  </si>
  <si>
    <t xml:space="preserve"> o/č Nabavka materijala i sitnog inventara</t>
  </si>
  <si>
    <t>KA6014</t>
  </si>
  <si>
    <t xml:space="preserve"> Izdaci za usluge prijevoza i goriva</t>
  </si>
  <si>
    <t xml:space="preserve"> Unajmljivanje imovine, opreme i nemat.imovine</t>
  </si>
  <si>
    <t xml:space="preserve"> Izdaci za tekuće održavanje</t>
  </si>
  <si>
    <t xml:space="preserve"> o/č Izdaci za tekuće održavanje</t>
  </si>
  <si>
    <t>IA6004</t>
  </si>
  <si>
    <t xml:space="preserve"> o/č Tekuće održavanje cesta</t>
  </si>
  <si>
    <t xml:space="preserve"> Izdaci osiguranja, bank. usluga i usluga p.p.</t>
  </si>
  <si>
    <t xml:space="preserve"> o/č Izdaci osiguranja, bank. usluga i usluga p.p.</t>
  </si>
  <si>
    <t xml:space="preserve"> o/č Izdaci za negativne tečajne razlike</t>
  </si>
  <si>
    <t xml:space="preserve"> Ugovorene i druge posebne usluge</t>
  </si>
  <si>
    <t xml:space="preserve"> o/č Ugovorene i druge posebne usluge</t>
  </si>
  <si>
    <t>EA6001</t>
  </si>
  <si>
    <t xml:space="preserve"> o/č Povjerenstva po Zakonu o drž.službenicima i namještenic.</t>
  </si>
  <si>
    <t>EA6002</t>
  </si>
  <si>
    <t xml:space="preserve"> o/č Ugovorene i dr.pos.usluge - troškovi izvršenja mjere pritvora</t>
  </si>
  <si>
    <t>GA6003</t>
  </si>
  <si>
    <t xml:space="preserve"> o/č Potpora riznici</t>
  </si>
  <si>
    <t>KA6007</t>
  </si>
  <si>
    <t xml:space="preserve"> o/č Vozački ispiti-vlastiti prihodi</t>
  </si>
  <si>
    <t>BA6021</t>
  </si>
  <si>
    <t xml:space="preserve"> o/č Ugov.i dr.poseb.usluge-sufinanciranje prijema vježbenika</t>
  </si>
  <si>
    <t>FA6002</t>
  </si>
  <si>
    <t xml:space="preserve"> o/č Ugovorene i druge posebne usluge-prostorni plan</t>
  </si>
  <si>
    <t xml:space="preserve"> Tekući grantovi i drugi tekući rashodi</t>
  </si>
  <si>
    <t xml:space="preserve"> Tekući grantovi drugim razinama vlasti i fondovima</t>
  </si>
  <si>
    <t>BA6014</t>
  </si>
  <si>
    <t xml:space="preserve"> o/č Grant za Sveučilište u Mostaru</t>
  </si>
  <si>
    <t>FA6003</t>
  </si>
  <si>
    <t xml:space="preserve"> o/č Grant za razvoj turizma</t>
  </si>
  <si>
    <t>GA6002</t>
  </si>
  <si>
    <t xml:space="preserve"> o/č Grant nižim razinama vlasti</t>
  </si>
  <si>
    <t xml:space="preserve"> o/č Grant za zdravstvene institucije i centre za soc.rad</t>
  </si>
  <si>
    <t>IA6002</t>
  </si>
  <si>
    <t xml:space="preserve"> o/č Grant za zaštitu okoliša</t>
  </si>
  <si>
    <t>JA6008</t>
  </si>
  <si>
    <t xml:space="preserve"> o/č Grant za šumarstvo</t>
  </si>
  <si>
    <t>KA6004</t>
  </si>
  <si>
    <t>614100</t>
  </si>
  <si>
    <t>KA6009</t>
  </si>
  <si>
    <t xml:space="preserve"> o/č Grant za sufinanciranje prijevoza učenika</t>
  </si>
  <si>
    <t>614200</t>
  </si>
  <si>
    <t xml:space="preserve"> Tekući grantovi pojedincima</t>
  </si>
  <si>
    <t xml:space="preserve"> o/č Grant za sufinanciranje nabavke udžbenika učenicima </t>
  </si>
  <si>
    <t>BA6020</t>
  </si>
  <si>
    <t xml:space="preserve"> o/č Grant za pomoć pri stambenom zbrinjavanju mladih obitelji 
      i socijalnih kategorija</t>
  </si>
  <si>
    <t>HA6003</t>
  </si>
  <si>
    <t xml:space="preserve"> o/č Grant za zdravstvene potrebe</t>
  </si>
  <si>
    <t>HA6004</t>
  </si>
  <si>
    <t xml:space="preserve"> o/č Grant za socijalne potrebe</t>
  </si>
  <si>
    <t>KA6003</t>
  </si>
  <si>
    <t xml:space="preserve"> o/č Isplate stipendija</t>
  </si>
  <si>
    <t>KA6016</t>
  </si>
  <si>
    <t xml:space="preserve"> o/č Grant za prredškolsko, osnovno i srednje obrazovanje</t>
  </si>
  <si>
    <t>KA6015</t>
  </si>
  <si>
    <t>LA6001</t>
  </si>
  <si>
    <t>NA6002</t>
  </si>
  <si>
    <t xml:space="preserve"> o/č Grant za zaštitu od prirodnih i drugih nesreća</t>
  </si>
  <si>
    <t>614300</t>
  </si>
  <si>
    <t xml:space="preserve"> Tekući grantovi neprofitnim organizacijama</t>
  </si>
  <si>
    <t>BA6019</t>
  </si>
  <si>
    <t xml:space="preserve"> o/č Grant političkim strankama</t>
  </si>
  <si>
    <t>BA6022</t>
  </si>
  <si>
    <t xml:space="preserve"> o/č Grant za Muzej Franjevačkog samostana Tolisa Vrata Bosne</t>
  </si>
  <si>
    <t>BA6001</t>
  </si>
  <si>
    <t xml:space="preserve"> o/č Grant neprofitnim organizacijama i udrugama građana</t>
  </si>
  <si>
    <t>BA6008</t>
  </si>
  <si>
    <t xml:space="preserve"> o/č Grant za Crveni križ Županije Posavske</t>
  </si>
  <si>
    <t>BA6007</t>
  </si>
  <si>
    <t xml:space="preserve"> o/č Grant za Gospodarsku komoru ŽP</t>
  </si>
  <si>
    <t>HA6005</t>
  </si>
  <si>
    <t xml:space="preserve"> o/č Grant za udruge roditelja djece s posebnim potrebama</t>
  </si>
  <si>
    <t>KA6001</t>
  </si>
  <si>
    <t xml:space="preserve"> o/č Grant za informiranje</t>
  </si>
  <si>
    <t>KA6006</t>
  </si>
  <si>
    <t xml:space="preserve"> o/č Grant za financiranje vjerskih zajednica</t>
  </si>
  <si>
    <t>KA6012</t>
  </si>
  <si>
    <t xml:space="preserve"> o/č Grant za sport</t>
  </si>
  <si>
    <t>KA6013</t>
  </si>
  <si>
    <t xml:space="preserve"> o/č Grant za kulturu</t>
  </si>
  <si>
    <t>614500</t>
  </si>
  <si>
    <t xml:space="preserve"> Subvencije privatnim poduzećima i poduzetnicima</t>
  </si>
  <si>
    <t>FA6001</t>
  </si>
  <si>
    <t xml:space="preserve"> o/č Grant za razvoj poduzetništva, obrta i zadruga</t>
  </si>
  <si>
    <t>JA6004</t>
  </si>
  <si>
    <t xml:space="preserve"> o/č Grant za poljoprivredu</t>
  </si>
  <si>
    <t>JA6005</t>
  </si>
  <si>
    <t xml:space="preserve"> o/č Grant za vodoprivredu</t>
  </si>
  <si>
    <t>JA6007</t>
  </si>
  <si>
    <t xml:space="preserve"> o/č Grant za uređenje poljoprivrednog zemljišta</t>
  </si>
  <si>
    <t xml:space="preserve"> Drugi tekući rashodi</t>
  </si>
  <si>
    <t>GA6005</t>
  </si>
  <si>
    <t xml:space="preserve"> o/č Ostali grantovi-povrat i drugo</t>
  </si>
  <si>
    <t>GA6006</t>
  </si>
  <si>
    <t xml:space="preserve"> o/č Ostali grantovi-izvršenje sudskih presuda i rješenja o 
      izvršenju</t>
  </si>
  <si>
    <t xml:space="preserve"> Kapitalni grantovi</t>
  </si>
  <si>
    <t>615100</t>
  </si>
  <si>
    <t xml:space="preserve"> Kapitalni grant</t>
  </si>
  <si>
    <t>FA6005</t>
  </si>
  <si>
    <t>JA6009</t>
  </si>
  <si>
    <t xml:space="preserve"> Kapitalni grant za vodoprivredu</t>
  </si>
  <si>
    <t>JA6010</t>
  </si>
  <si>
    <t xml:space="preserve"> Kapitalni grant za uređenje poljoprivrednog zemljišta</t>
  </si>
  <si>
    <t>615500</t>
  </si>
  <si>
    <t>FA6004</t>
  </si>
  <si>
    <t xml:space="preserve"> Kapitalni grant za razvoj poduzetništva, obrta i zadruga</t>
  </si>
  <si>
    <t>616000</t>
  </si>
  <si>
    <t xml:space="preserve"> Izdaci za kamate </t>
  </si>
  <si>
    <t>GA6008</t>
  </si>
  <si>
    <t xml:space="preserve"> Izdaci za inozemne kamate-Koreja</t>
  </si>
  <si>
    <t>GA6009</t>
  </si>
  <si>
    <t xml:space="preserve"> Izdaci za inozemne kamate-Austrija</t>
  </si>
  <si>
    <t xml:space="preserve"> Izdaci za nabavku stalnih sredstava</t>
  </si>
  <si>
    <t xml:space="preserve"> Nabavka zemljišta</t>
  </si>
  <si>
    <t xml:space="preserve"> Nabavka građevina</t>
  </si>
  <si>
    <t xml:space="preserve"> Nabavka opreme</t>
  </si>
  <si>
    <t>NA8001</t>
  </si>
  <si>
    <t xml:space="preserve"> Nabavka opreme - vatrogasna postrojba</t>
  </si>
  <si>
    <t xml:space="preserve"> Nabavka stalnih sredstava u obliku prava</t>
  </si>
  <si>
    <t>IA6005</t>
  </si>
  <si>
    <t xml:space="preserve"> Rekonstrukcija i investicijsko održavanje lokalnih cesta</t>
  </si>
  <si>
    <t>IA6006</t>
  </si>
  <si>
    <t xml:space="preserve"> Rekonstrukcija i investicijsko održavanje regionalnih cesta</t>
  </si>
  <si>
    <t xml:space="preserve"> Izdaci za otplate dugova</t>
  </si>
  <si>
    <t xml:space="preserve"> Vanjske otplate - Koreja</t>
  </si>
  <si>
    <t xml:space="preserve"> Vanjske otplate - Austrija</t>
  </si>
  <si>
    <t xml:space="preserve"> Ukupan broj zaposlenih:</t>
  </si>
  <si>
    <t xml:space="preserve"> Ukupno za potrošačke jedinice:</t>
  </si>
  <si>
    <t>II POSEBAN DIO</t>
  </si>
  <si>
    <t>Članak 3.</t>
  </si>
  <si>
    <t>SKUPŠTINA ŽUPANIJE POSAVSKE</t>
  </si>
  <si>
    <t>Proračunska
institucija</t>
  </si>
  <si>
    <t>Potrošačka
jedinica</t>
  </si>
  <si>
    <t>Funkcija</t>
  </si>
  <si>
    <t>12=10+11</t>
  </si>
  <si>
    <t>13=12/9</t>
  </si>
  <si>
    <t>01</t>
  </si>
  <si>
    <t>0001</t>
  </si>
  <si>
    <t xml:space="preserve"> Ukupno za potrošačku jedinicu:</t>
  </si>
  <si>
    <t xml:space="preserve"> Ukupno za proračunsku instituciju:</t>
  </si>
  <si>
    <t xml:space="preserve"> Ukupno za ministarstvo (razdjel):</t>
  </si>
  <si>
    <t>VLADA ŽUPANIJE POSAVSKE</t>
  </si>
  <si>
    <t>11</t>
  </si>
  <si>
    <t xml:space="preserve"> Ugovorene i dr. posebne usluge-sufinanc.prijema vježbenika</t>
  </si>
  <si>
    <t xml:space="preserve"> Grant za Sveučilište u Mostaru</t>
  </si>
  <si>
    <t xml:space="preserve"> Grant neprofitnim organizacijama i udrugama građana</t>
  </si>
  <si>
    <t xml:space="preserve"> Grant za Crveni križ Županije Posavske</t>
  </si>
  <si>
    <t xml:space="preserve"> Grant za Gospodarsku komoru ŽP</t>
  </si>
  <si>
    <t xml:space="preserve"> Grant političkim strankama</t>
  </si>
  <si>
    <t xml:space="preserve"> Grant za Muzej Franjevačkog samostana Tolisa Vrata Bosne</t>
  </si>
  <si>
    <t>0002</t>
  </si>
  <si>
    <t>VLADA ŽUPANIJE POSAVSKE - URED ZA ZAKONODAVSTVO VLADE ŽUPANIJE POSAVSKE</t>
  </si>
  <si>
    <t>0003</t>
  </si>
  <si>
    <t>VLADA ŽUPANIJE POSAVSKE - SLUŽBA ZA ODNOSE S JAVNOŠĆU VLADE ŽUPANIJE POSAVSKE</t>
  </si>
  <si>
    <t>0004</t>
  </si>
  <si>
    <t>0005</t>
  </si>
  <si>
    <t>6 (7)</t>
  </si>
  <si>
    <t>VLADA ŽUPANIJE POSAVSKE - URED ZA OBNOVU, STAMBENO ZBRINJAVANJE I RASELJENE OSOBE VLADE ŽUPANIJE POSAVSKE</t>
  </si>
  <si>
    <t>0006</t>
  </si>
  <si>
    <t xml:space="preserve"> Grant za pomoć pri stambenom zbrinjavanju mladih obitelji 
 i socijalnih kategorija</t>
  </si>
  <si>
    <t>ZAJEDNIČKA SLUŽBA VLADE ŽUPANIJE POSAVSKE</t>
  </si>
  <si>
    <t>12</t>
  </si>
  <si>
    <t>MINISTARSTVO UNUTARNJIH POSLOVA ŽUPANIJE POSAVSKE</t>
  </si>
  <si>
    <t>13</t>
  </si>
  <si>
    <t>MINISTARSTVO PRAVOSUĐA I UPRAVE ŽUPANIJE POSAVSKE</t>
  </si>
  <si>
    <t>14</t>
  </si>
  <si>
    <t xml:space="preserve"> Povjerenstva po Zakonu o drž.službenicima i namještenic.</t>
  </si>
  <si>
    <t xml:space="preserve"> Ugovorene i dr.pos.usluge - troškovi izvršenja mjere pritvora</t>
  </si>
  <si>
    <t xml:space="preserve"> MINISTARSTVO PRAVOSUĐA I UPRAVE ŽUPANIJE POSAVSKE - OPĆINSKI SUD U ORAŠJU</t>
  </si>
  <si>
    <t>02</t>
  </si>
  <si>
    <t>MINISTARSTVO PRAVOSUĐA I UPRAVE ŽUPANIJE POSAVSKE - OPĆINSKO PRAVOBRANITELJSTVO ORAŠJE</t>
  </si>
  <si>
    <t>05</t>
  </si>
  <si>
    <t>MINISTARSTVO PRAVOSUĐA I UPRAVE ŽUPANIJE POSAVSKE - OPĆINSKO PRAVOBRANITELJSTVO ODŽAK</t>
  </si>
  <si>
    <t>MINISTARSTVO PRAVOSUĐA I UPRAVE ŽUPANIJE POSAVSKE - ŽUPANIJSKI ZAVOD ZA PRUŽANJE PRAVNE POMOĆI</t>
  </si>
  <si>
    <t>06</t>
  </si>
  <si>
    <t>MINISTARSTVO PRAVOSUĐA I UPRAVE ŽUPANIJE POSAVSKE - ŽUPANIJSKI ARHIV</t>
  </si>
  <si>
    <t>07</t>
  </si>
  <si>
    <t>MINISTARSTVO GOSPODARSTVA, RADA I PROSTORNOG UREĐENJA ŽUPANIJE POSAVSKE</t>
  </si>
  <si>
    <t>15</t>
  </si>
  <si>
    <t xml:space="preserve"> Ugovorene i druge posebne usluge-prostorni plan</t>
  </si>
  <si>
    <t xml:space="preserve"> Grant za razvoj turizma</t>
  </si>
  <si>
    <t xml:space="preserve"> Grant za razvoj poduzetništva, obrta i zadruga</t>
  </si>
  <si>
    <t xml:space="preserve"> Kapitalni grant jedinicama lokalne samouprave za razvoj
 poduzetničke infrastrukture</t>
  </si>
  <si>
    <t>10 (11)</t>
  </si>
  <si>
    <t>MINISTARSTVO FINANCIJA ŽUPANIJE POSAVSKE</t>
  </si>
  <si>
    <t>16</t>
  </si>
  <si>
    <t xml:space="preserve"> Potpora riznici</t>
  </si>
  <si>
    <t xml:space="preserve"> Grant nižim razinama vlasti</t>
  </si>
  <si>
    <t xml:space="preserve"> Ostali grantovi-povrat i drugo</t>
  </si>
  <si>
    <t xml:space="preserve"> Ostali grantovi-izvršenje sudskih presuda i rješenja
 o izvršenju</t>
  </si>
  <si>
    <t xml:space="preserve"> Izdaci za kamate</t>
  </si>
  <si>
    <t>Izdaci za otplate dugova</t>
  </si>
  <si>
    <t>Vanjske otplate-Koreja</t>
  </si>
  <si>
    <t>Vanjske otplate-Austrija</t>
  </si>
  <si>
    <t>MINISTARSTVO ZDRAVSTVA I SOCIJALNE POLITIKE ŽUPANIJE POSAVSKE</t>
  </si>
  <si>
    <t>17</t>
  </si>
  <si>
    <t xml:space="preserve"> Grant za zdravstvene institucije i centre za soc.rad</t>
  </si>
  <si>
    <t xml:space="preserve"> Grant za zdravstvene potrebe</t>
  </si>
  <si>
    <t xml:space="preserve"> Grant za socijalne potrebe</t>
  </si>
  <si>
    <t xml:space="preserve"> Grant za udruge roditelja djece s posebnim potrebama</t>
  </si>
  <si>
    <t xml:space="preserve"> </t>
  </si>
  <si>
    <t>MINISTARSTVO PROMETA, VEZA  I ZAŠTITE OKOLIŠA ŽUPANIJE POSAVSKE</t>
  </si>
  <si>
    <t>18</t>
  </si>
  <si>
    <t xml:space="preserve"> Tekuće održavanje cesta</t>
  </si>
  <si>
    <t xml:space="preserve"> Grant za zaštitu okoliša</t>
  </si>
  <si>
    <t>MINISTARSTVO POLJOPRIVREDE, VODOPRIVREDE I ŠUMARSTVA ŽUPANIJE POSAVSKE</t>
  </si>
  <si>
    <t>19</t>
  </si>
  <si>
    <t xml:space="preserve"> Grant za šumarstvo</t>
  </si>
  <si>
    <t xml:space="preserve"> Grant za poljoprivredu</t>
  </si>
  <si>
    <t xml:space="preserve"> Grant za vodoprivredu</t>
  </si>
  <si>
    <t xml:space="preserve"> Grant za uređenje poljoprivrednog zemljišta</t>
  </si>
  <si>
    <t>MINISTARSTVO PROSVJETE, ZNANOSTI, KULTURE I SPORTA ŽUPANIJE POSAVSKE</t>
  </si>
  <si>
    <t>20</t>
  </si>
  <si>
    <t xml:space="preserve"> Izdaci za negativne tečajne razlike</t>
  </si>
  <si>
    <t xml:space="preserve"> Vozački ispiti-vlastiti prihodi</t>
  </si>
  <si>
    <t xml:space="preserve"> Grant za financiranje visokog obrazovanja    
</t>
  </si>
  <si>
    <t xml:space="preserve"> Grant za sufinanciranje prijevoza učenika</t>
  </si>
  <si>
    <t xml:space="preserve"> Isplate stipendija</t>
  </si>
  <si>
    <t xml:space="preserve"> Grant za predškolsko, osnovno i srednje obrazovanje</t>
  </si>
  <si>
    <t xml:space="preserve"> Grant za sufinanciranje nabavke udžbenika učenicima</t>
  </si>
  <si>
    <t xml:space="preserve"> Grant za informiranje</t>
  </si>
  <si>
    <t xml:space="preserve"> Grant za financiranje vjerskih zajednica</t>
  </si>
  <si>
    <t xml:space="preserve"> Grant za sport</t>
  </si>
  <si>
    <t xml:space="preserve"> Grant za kulturu</t>
  </si>
  <si>
    <t>13 (14)</t>
  </si>
  <si>
    <t>MINISTARSTVO PROSVJETE, ZNANOSTI, KULTURE I SPORTA ŽUPANIJE POSAVSKE - SREDNJA ŠKOLA PERE ZEČEVIĆA U ODŽAKU</t>
  </si>
  <si>
    <t>MINISTARSTVO PROSVJETE, ZNANOSTI, KULTURE I SPORTA ŽUPANIJE POSAVSKE - ŠKOLSKI CENTAR FRA MARTINA NEDIĆA U ORAŠJU</t>
  </si>
  <si>
    <t>MINISTARSTVO PROSVJETE, ZNANOSTI, KULTURE I SPORTA ŽUPANIJE POSAVSKE - SREDNJA STRUKOVNA ŠKOLA ORAŠJE U ORAŠJU</t>
  </si>
  <si>
    <t>MINISTARSTVO PROSVJETE, ZNANOSTI, KULTURE I SPORTA ŽUPANIJE POSAVSKE - OSNOVNA ŠKOLA ORAŠJE U ORAŠJU</t>
  </si>
  <si>
    <t>03</t>
  </si>
  <si>
    <t>MINISTARSTVO PROSVJETE, ZNANOSTI, KULTURE I SPORTA ŽUPANIJE POSAVSKE - OSNOVNA ŠKOLA VLADIMIRA NAZORA U ODŽAKU</t>
  </si>
  <si>
    <t>MINISTARSTVO PROSVJETE, ZNANOSTI, KULTURE I SPORTA ŽUPANIJE POSAVSKE - OSNOVNA ŠKOLA RUĐERA BOŠKOVIĆA U DONJOJ MAHALI</t>
  </si>
  <si>
    <t>MINISTARSTVO PROSVJETE, ZNANOSTI, KULTURE I SPORTA ŽUPANIJE POSAVSKE - OSNOVNA ŠKOLA FRA ILIJE STARČEVIĆA U TOLISI</t>
  </si>
  <si>
    <t>MINISTARSTVO PROSVJETE, ZNANOSTI, KULTURE I SPORTA ŽUPANIJE POSAVSKE - OSNOVNA ŠKOLA STJEPANA RADIĆA U BOKU</t>
  </si>
  <si>
    <t>MINISTARSTVO PROSVJETE, ZNANOSTI, KULTURE I SPORTA ŽUPANIJE POSAVSKE - OSNOVNA ŠKOLA ANTUNA GUSTAVA MATOŠA U VIDOVICAMA</t>
  </si>
  <si>
    <t>MINISTARSTVO PROSVJETE, ZNANOSTI, KULTURE I SPORTA ŽUPANIJE POSAVSKE - OSNOVNA ŠKOLA BRAĆE RADIĆA U DOMALJEVCU</t>
  </si>
  <si>
    <t>0007</t>
  </si>
  <si>
    <t>MINISTARSTVO BRANITELJA ŽUPANIJE POSAVSKE</t>
  </si>
  <si>
    <t>21</t>
  </si>
  <si>
    <t xml:space="preserve"> Grant za branitelje i stradalnike Domovinskog rata</t>
  </si>
  <si>
    <t>AGENCIJA ZA PRIVATIZACIJU U ŽUPANIJI POSAVSKOJ</t>
  </si>
  <si>
    <t>22</t>
  </si>
  <si>
    <t>ŽUPANIJSKA UPRAVA CIVILNE ZAŠTITE</t>
  </si>
  <si>
    <t>23</t>
  </si>
  <si>
    <t xml:space="preserve"> Grant za zaštitu od prirodnih i drugih nesreća</t>
  </si>
  <si>
    <t>KANTONALNI SUD ODŽAK</t>
  </si>
  <si>
    <t>24</t>
  </si>
  <si>
    <t>ŽUPANIJSKO PRAVOBRANITELJSTVO</t>
  </si>
  <si>
    <t>26</t>
  </si>
  <si>
    <t>KANTONALNO TUŽITELJSTVO POSAVSKOG KANTONA ORAŠJE</t>
  </si>
  <si>
    <t>27</t>
  </si>
  <si>
    <t>ŽUPANIJSKA UPRAVA ZA INSPEKCIJSKE POSLOVE</t>
  </si>
  <si>
    <t>28</t>
  </si>
  <si>
    <t>Proračunski
korisnik</t>
  </si>
  <si>
    <t>NAZIV</t>
  </si>
  <si>
    <t>Bruto plaće
611100</t>
  </si>
  <si>
    <t>Nakn.trošk.zaposlenih
611200</t>
  </si>
  <si>
    <t>Dopr.posl.
612000</t>
  </si>
  <si>
    <t>Mat.trošk.
613000</t>
  </si>
  <si>
    <t xml:space="preserve">Tekući grantovi
614000 </t>
  </si>
  <si>
    <t>Kapitalni grantovi
615000</t>
  </si>
  <si>
    <t>Izdaci za kamate
616000</t>
  </si>
  <si>
    <t>Nab.staln.
sredstava
821000</t>
  </si>
  <si>
    <t>Otplate dugova
823000</t>
  </si>
  <si>
    <t>Vlada ŽP - Ured za obnovu, stambeno zbrinjavanje i raseljene osobe Vlade Županije Posavske</t>
  </si>
  <si>
    <t>Ministarstvo pravosuđa i uprave Županije Posavske - Općinski sud u Orašju</t>
  </si>
  <si>
    <t>Ministarstvo pravosuđa i uprave Županije Posavske - Općinsko pravobraniteljstvo Orašje</t>
  </si>
  <si>
    <t>Ministarstvo pravosuđa i uprave Županije Posavske - Općinsko pravobraniteljstvo Odžak</t>
  </si>
  <si>
    <t>Ministarstvo pravosuđa i uprave Županije Posavske - Županijski Zavod za pružanje pravne pomoći</t>
  </si>
  <si>
    <t>Ministarstvo pravosuđa i uprave Županije Posavske - Županijski arhiv</t>
  </si>
  <si>
    <t>Ministarstvo gospodarstva, rada i prostornog uređenja Županije Posavske</t>
  </si>
  <si>
    <t>Ministarstvo poljoprivrede, vodoprivrede i šumarstva Županije Posavske</t>
  </si>
  <si>
    <t>Ministarstvo prosvjete, znanosti, kulture i sporta ŽP - Srednja škola Pere Zečevića u Odžaku</t>
  </si>
  <si>
    <t>Ministarstvo prosvjete, znanosti, kulture i sporta ŽP - Školski centar fra Martina Nedića u Orašju</t>
  </si>
  <si>
    <t>Ministarstvo prosvjete, znanosti, kulture i sporta ŽP - Srednja strukovna škola Orašje u Orašju</t>
  </si>
  <si>
    <t>Ministarstvo prosvjete, znanosti, kulture i sporta ŽP - Osnovna škola Orašje u Orašju</t>
  </si>
  <si>
    <t>Ministarstvo prosvjete, znanosti, kulture i sporta ŽP - Osnovna škola Vladimira Nazora u Odžaku</t>
  </si>
  <si>
    <t>Ministarstvo prosvjete, znanosti, kulture i sporta ŽP - Osn.škola Ruđera Boškovića u Donjoj Mahali</t>
  </si>
  <si>
    <t>Ministarstvo prosvjete, znanosti, kulture i sporta ŽP - Osnovna škola fra Ilije Starčevića u Tolisi</t>
  </si>
  <si>
    <t>Ministarstvo prosvjete, znanosti, kulture i sporta ŽP - Osn.škola Stjepana Radića u Boku</t>
  </si>
  <si>
    <t>Ministarstvo prosvj., znan., kult.i sporta ŽP - Osnovna škola Antuna Gustava Matoša u Vidovicama</t>
  </si>
  <si>
    <t>Ministarstvo prosvjete, znanosti, kulture i sporta ŽP - Osnovna škola Braće Radića u Domaljevcu</t>
  </si>
  <si>
    <t>UKUPNO:</t>
  </si>
  <si>
    <t>Tekuća pričuva</t>
  </si>
  <si>
    <t>Pokriće deficita</t>
  </si>
  <si>
    <t>Funk. kod</t>
  </si>
  <si>
    <t>Opis</t>
  </si>
  <si>
    <t>5=4/3</t>
  </si>
  <si>
    <t>Ukupni rashodi (zbroj funkcija) (2+11+17+24+34+41+48+55+62+71)</t>
  </si>
  <si>
    <t>Opće javne usluge       (3+…..+10)</t>
  </si>
  <si>
    <t>011</t>
  </si>
  <si>
    <t>Izvršni i zakonodavni organi, financijski i fiskalni poslovi, vanjski poslovi</t>
  </si>
  <si>
    <t>012</t>
  </si>
  <si>
    <t>Strana ekonomska pomoć</t>
  </si>
  <si>
    <t>013</t>
  </si>
  <si>
    <t>Opće usluge</t>
  </si>
  <si>
    <t>014</t>
  </si>
  <si>
    <t>Osnovno istraživanje</t>
  </si>
  <si>
    <t>015</t>
  </si>
  <si>
    <t>IiR Opće javne usluge</t>
  </si>
  <si>
    <t>016</t>
  </si>
  <si>
    <t>Opće javne usluge n. k.</t>
  </si>
  <si>
    <t>017</t>
  </si>
  <si>
    <t xml:space="preserve">Transakcije vezane za javni dug </t>
  </si>
  <si>
    <t>018</t>
  </si>
  <si>
    <t>Transferi općeg karaktera između različitih razina vlasti</t>
  </si>
  <si>
    <t>Obrana      (12+….+16)</t>
  </si>
  <si>
    <t>021</t>
  </si>
  <si>
    <t>Vojna obrana</t>
  </si>
  <si>
    <t>022</t>
  </si>
  <si>
    <t>Civilna obrana</t>
  </si>
  <si>
    <t>023</t>
  </si>
  <si>
    <t>Inozemna vojna pomoć</t>
  </si>
  <si>
    <t>024</t>
  </si>
  <si>
    <t>IiR Obrana</t>
  </si>
  <si>
    <t>025</t>
  </si>
  <si>
    <t>Obrana n. k.</t>
  </si>
  <si>
    <t>031</t>
  </si>
  <si>
    <t>Policijske usluge</t>
  </si>
  <si>
    <t>032</t>
  </si>
  <si>
    <t xml:space="preserve">Usluge protupožarne zaštite </t>
  </si>
  <si>
    <t>033</t>
  </si>
  <si>
    <t>Sudovi</t>
  </si>
  <si>
    <t>034</t>
  </si>
  <si>
    <t>Zatvori</t>
  </si>
  <si>
    <t>035</t>
  </si>
  <si>
    <t>IiR  Javni red i sigurnost</t>
  </si>
  <si>
    <t>036</t>
  </si>
  <si>
    <t>Javni red i sigurnost n. k.</t>
  </si>
  <si>
    <t>04</t>
  </si>
  <si>
    <t>Ekonomski poslovi    (25+….+33)</t>
  </si>
  <si>
    <t>041</t>
  </si>
  <si>
    <t>Opći ekonomski, komercijalni i poslovi po pitanju rada</t>
  </si>
  <si>
    <t>042</t>
  </si>
  <si>
    <t>Poljoprivreda, šumarstvo, lov i ribolov</t>
  </si>
  <si>
    <t>043</t>
  </si>
  <si>
    <t>Gorivo i energija</t>
  </si>
  <si>
    <t>044</t>
  </si>
  <si>
    <t xml:space="preserve">Rudarstvo, proizvodnja i izgradnja </t>
  </si>
  <si>
    <t>045</t>
  </si>
  <si>
    <t>Promet</t>
  </si>
  <si>
    <t>046</t>
  </si>
  <si>
    <t>Komunikacije</t>
  </si>
  <si>
    <t>047</t>
  </si>
  <si>
    <t>Ostale industrije</t>
  </si>
  <si>
    <t>048</t>
  </si>
  <si>
    <t>IiR Ekonomski poslovi</t>
  </si>
  <si>
    <t>049</t>
  </si>
  <si>
    <t>Ekonomski poslovi n. k.</t>
  </si>
  <si>
    <t>Zaštita životne sredine      (35+…..+40)</t>
  </si>
  <si>
    <t>051</t>
  </si>
  <si>
    <t xml:space="preserve">Upravljanje otpadom </t>
  </si>
  <si>
    <t>052</t>
  </si>
  <si>
    <t>Upravljanje otpadnim vodama</t>
  </si>
  <si>
    <t>053</t>
  </si>
  <si>
    <t>Smanjenje zagađenosti</t>
  </si>
  <si>
    <t>054</t>
  </si>
  <si>
    <t>Zaštita raznovrsnosti flore i faune i zaštita okoliša</t>
  </si>
  <si>
    <t>055</t>
  </si>
  <si>
    <t xml:space="preserve">IiR Zaštita životne sredine </t>
  </si>
  <si>
    <t>056</t>
  </si>
  <si>
    <t>Zaštita životne sredine n. k.</t>
  </si>
  <si>
    <t>Stambeni i zajednički poslovi    (42+….+47)</t>
  </si>
  <si>
    <t>061</t>
  </si>
  <si>
    <t>Stambeni razvoj</t>
  </si>
  <si>
    <t>062</t>
  </si>
  <si>
    <t>Razvoj zajednice</t>
  </si>
  <si>
    <t>063</t>
  </si>
  <si>
    <t>Vodoopskrba</t>
  </si>
  <si>
    <t>064</t>
  </si>
  <si>
    <t>Ulična rasvjeta</t>
  </si>
  <si>
    <t>065</t>
  </si>
  <si>
    <t>IiR Stambeni i zajednički poslovi</t>
  </si>
  <si>
    <t>066</t>
  </si>
  <si>
    <t>Stambeni i zajednički poslovi n. k.</t>
  </si>
  <si>
    <t>Zdravstvo    (49+….+54)</t>
  </si>
  <si>
    <t>071</t>
  </si>
  <si>
    <t>Medicinski proizvodi, uređaji i oprema</t>
  </si>
  <si>
    <t>072</t>
  </si>
  <si>
    <t>Izvanbolničke usluge</t>
  </si>
  <si>
    <t>073</t>
  </si>
  <si>
    <t>Bolničke usluge</t>
  </si>
  <si>
    <t>074</t>
  </si>
  <si>
    <t>Usluge zdravstvene zaštite</t>
  </si>
  <si>
    <t>075</t>
  </si>
  <si>
    <t>IiR Zdravstvo</t>
  </si>
  <si>
    <t>076</t>
  </si>
  <si>
    <t>Zdravstvo n. k.</t>
  </si>
  <si>
    <t>08</t>
  </si>
  <si>
    <t>Rekreacija, kultura i religija     (56+….+61)</t>
  </si>
  <si>
    <t>081</t>
  </si>
  <si>
    <t>Usluge sporta i rekreacije</t>
  </si>
  <si>
    <t>082</t>
  </si>
  <si>
    <t xml:space="preserve">Usluge kulture </t>
  </si>
  <si>
    <t>083</t>
  </si>
  <si>
    <t xml:space="preserve">Usluge emitiranja i izdavaštva </t>
  </si>
  <si>
    <t>084</t>
  </si>
  <si>
    <t xml:space="preserve">Religijske i druge zajedničke usluge </t>
  </si>
  <si>
    <t>085</t>
  </si>
  <si>
    <t>IiR Rekreacija, kultura i religija</t>
  </si>
  <si>
    <t>086</t>
  </si>
  <si>
    <t>Rekreacija, kultura i religija n. k.</t>
  </si>
  <si>
    <t>09</t>
  </si>
  <si>
    <t>Obrazovanje         (63+…..+70)</t>
  </si>
  <si>
    <t>091</t>
  </si>
  <si>
    <t>Predškolsko i osnovno obrazovanje</t>
  </si>
  <si>
    <t>092</t>
  </si>
  <si>
    <t>Srednje obrazovanje</t>
  </si>
  <si>
    <t>093</t>
  </si>
  <si>
    <t>Obrazovanje poslije srednje škole koje nije visoko obrazovanje</t>
  </si>
  <si>
    <t>094</t>
  </si>
  <si>
    <t>Visoko obrazovanje</t>
  </si>
  <si>
    <t>095</t>
  </si>
  <si>
    <t>Obrazovanje koje nije definirano razinom</t>
  </si>
  <si>
    <t>096</t>
  </si>
  <si>
    <t>Pomoćne usluge obrazovanju</t>
  </si>
  <si>
    <t>097</t>
  </si>
  <si>
    <t>IiR Obrazovanje</t>
  </si>
  <si>
    <t>098</t>
  </si>
  <si>
    <t>Obrazovanje n. k.</t>
  </si>
  <si>
    <t>10</t>
  </si>
  <si>
    <t>Socijalna zaštita      (72+…..+80)</t>
  </si>
  <si>
    <t>101</t>
  </si>
  <si>
    <t>Bolest i hendikepiranost</t>
  </si>
  <si>
    <t>102</t>
  </si>
  <si>
    <t>Starost</t>
  </si>
  <si>
    <t>103</t>
  </si>
  <si>
    <t>Nasljednici</t>
  </si>
  <si>
    <t>104</t>
  </si>
  <si>
    <t>Obitelj i djeca</t>
  </si>
  <si>
    <t>105</t>
  </si>
  <si>
    <t>Neuposlenost</t>
  </si>
  <si>
    <t>106</t>
  </si>
  <si>
    <t>Stanovanje</t>
  </si>
  <si>
    <t>107</t>
  </si>
  <si>
    <t>Socijalno isključenje n. k.</t>
  </si>
  <si>
    <t>108</t>
  </si>
  <si>
    <t>IiR Socijalna zaštita</t>
  </si>
  <si>
    <t>109</t>
  </si>
  <si>
    <t>Socijalna zaštita n. k.</t>
  </si>
  <si>
    <t>Izvor financiranja</t>
  </si>
  <si>
    <t>Proračun</t>
  </si>
  <si>
    <t>Namjenski prihodi</t>
  </si>
  <si>
    <t>Grantovi i donacije</t>
  </si>
  <si>
    <t>3=4+5+6</t>
  </si>
  <si>
    <t>Ministarstvo prosvjete, znanosti, kulture i sporta ŽP - Osnovna škola Stjepana Radića u Boku</t>
  </si>
  <si>
    <t>Članak 4.</t>
  </si>
  <si>
    <t>Članak 5.</t>
  </si>
  <si>
    <t xml:space="preserve">                                                                                                                                      </t>
  </si>
  <si>
    <t xml:space="preserve">Bosna i Hercegovina </t>
  </si>
  <si>
    <t>Federacija Bosne i Hercegovine</t>
  </si>
  <si>
    <t>ŽUPANIJA POSAVSKA</t>
  </si>
  <si>
    <t xml:space="preserve">Skupština </t>
  </si>
  <si>
    <t>Predsjednik</t>
  </si>
  <si>
    <t>Blaž Župarić, v.r.</t>
  </si>
  <si>
    <t>46.</t>
  </si>
  <si>
    <t xml:space="preserve">   12. DIO AKUMULIRANOG SUFICITA IZ PRETHODNOG RAZDOBLJA</t>
  </si>
  <si>
    <t>Broj zaposlenih na naodređeno vrijeme</t>
  </si>
  <si>
    <t>Broj vježbenika</t>
  </si>
  <si>
    <t>Broj zaposlenih iz drugih institucija</t>
  </si>
  <si>
    <t>Broj vanjskih suradnika (prosvjeta)</t>
  </si>
  <si>
    <t>DA6002</t>
  </si>
  <si>
    <t xml:space="preserve"> Ostali doprinosi iz ranijih razdoblja</t>
  </si>
  <si>
    <t>28 (29)</t>
  </si>
  <si>
    <t>44 (44)</t>
  </si>
  <si>
    <t>28 (30)</t>
  </si>
  <si>
    <t xml:space="preserve">   Prihodi po osnovi kamata na investirana javna sredstva</t>
  </si>
  <si>
    <t xml:space="preserve">   Posebna naknada za službu "Pomoć informacije na cestama"</t>
  </si>
  <si>
    <t xml:space="preserve">   Naknada korisnika okoliša fizičkih osoba</t>
  </si>
  <si>
    <t xml:space="preserve">  Prihodi od imovinske koristi pribavljeni kaznenim djelom 
  u skladu s čl.115 Kaznenog zakona FBiH</t>
  </si>
  <si>
    <t xml:space="preserve">   Vlastiti javni prihodi od pružanja usluga cikličnog obrazovanja, škole u 
   prirodi, produženog boravka u školama, školarina, upisnina i sl.</t>
  </si>
  <si>
    <t xml:space="preserve">   Vlastiti prihodi proračunskih korisnika  (zaostale uplate od 01.01.2024.)</t>
  </si>
  <si>
    <t>7 (8)</t>
  </si>
  <si>
    <t xml:space="preserve"> Ugovorene i druge posebne usluge-obuke i seminari 
 prosvjetnih djelatnika</t>
  </si>
  <si>
    <t xml:space="preserve"> o/č Ugovorene i druge posebne usluge-obuke i seminari 
     prosvjetnih djelatnika</t>
  </si>
  <si>
    <t xml:space="preserve">   Neplanirane uplate-prihodi</t>
  </si>
  <si>
    <t xml:space="preserve"> Grant nižim razinama za uklanjanje posljedica prir.nesreća</t>
  </si>
  <si>
    <t>17 (18)</t>
  </si>
  <si>
    <t>o/č Grant za financiranje visokog obrazovanja</t>
  </si>
  <si>
    <t xml:space="preserve"> o/č Grant nižim razinama za uklanjanje posljedica prir.nesreća</t>
  </si>
  <si>
    <t>NA6005</t>
  </si>
  <si>
    <t>KA6017</t>
  </si>
  <si>
    <t xml:space="preserve">   UKUPNO PRIHODI, PRIMICI I FINANCIRANJE</t>
  </si>
  <si>
    <t xml:space="preserve">           o/t za provođenje strukturalnih reformi</t>
  </si>
  <si>
    <r>
      <t>PRORAČUN ŽUPANIJE POSAVSKE</t>
    </r>
    <r>
      <rPr>
        <b/>
        <sz val="10"/>
        <rFont val="Arial"/>
        <family val="2"/>
      </rPr>
      <t xml:space="preserve">
</t>
    </r>
    <r>
      <rPr>
        <b/>
        <sz val="14"/>
        <rFont val="Arial"/>
        <family val="2"/>
      </rPr>
      <t>za 2025. godinu</t>
    </r>
  </si>
  <si>
    <t>Domaljevac, prosinac 2024. godine</t>
  </si>
  <si>
    <t>Proračun ŽP za 2025. g.(po korisnicima i ek.klasifikaciji izdataka)</t>
  </si>
  <si>
    <t>Planirani broj zaposlenih u 2025.godini</t>
  </si>
  <si>
    <t>Funkcijska klasifikacija rashoda i izdataka Proračuna ŽP za 2025.g.</t>
  </si>
  <si>
    <t>Izdaci za nabavku stalnih sredstava za 2025.g.(po pror.korisn.i izv.financiranja)</t>
  </si>
  <si>
    <t>Na temelju članka 26. stavak (1.) točka c) Ustava Županije Posavske - pročišćrni tekst ("Narodne novine Županije Posavske", broj:15/23) i članka 37.(3.) Zakona o proračunima u Federaciji Bosne i Hercegovine ("Službene novine Federacije BiH", broj: 102/13, 9/14, 13/14, 8/15, 91/15, 102/15, 104/16, 5/18, 11/19, 99/19, 25a/22), Skupština Županije Posavske na _______________ sjednici održanoj dana ____________ 2024. godine usvaja</t>
  </si>
  <si>
    <t xml:space="preserve"> Županije Posavske za 2025. godinu</t>
  </si>
  <si>
    <t xml:space="preserve">     Proračun Županije Posavske za 2025.godinu sastoji se od: </t>
  </si>
  <si>
    <t>Povećanje/smanjenje Proračuna za 2024.g.</t>
  </si>
  <si>
    <t>PRORAČUN za 
2025.g.</t>
  </si>
  <si>
    <t>"Prihodi, primici i financiranje" i "Rashodi i izdaci" po grupama utvrđuju se u Računu prihoda i rashoda za 2025.godinu kako slijedi:</t>
  </si>
  <si>
    <t>Povećanje/ smanjenje Proračuna za 2024.</t>
  </si>
  <si>
    <t>PRORAČUN 
za 2025.g.</t>
  </si>
  <si>
    <t>PRORAČUN za 2025.g.</t>
  </si>
  <si>
    <t>PRORAČUN ŽUPANIJE POSAVSKE ZA 2025.GODINU (po korisnicima i ekonomskim klasifikacijama izdataka)</t>
  </si>
  <si>
    <t>PLANIRANI BROJ ZAPOSLENIH U 2025.GODINI</t>
  </si>
  <si>
    <t>FUNKCIJSKA KLASIFIKACIJA RASHODA I IZDATAKA PRORAČUNA ŽUPANIJE POSAVSKE ZA 2025.GODINU</t>
  </si>
  <si>
    <t>PRORAČUN za 2025.</t>
  </si>
  <si>
    <t>IZDACI ZA NABAVKU STALNIH SREDSTAVA ŽUPANIJE POSAVSKE ZA 2025.G.(po proračunskim korisnicima i izvorima financiranja)</t>
  </si>
  <si>
    <t xml:space="preserve">     Proračun Županije Posavske za 2025. godinu stupa na snagu narednog dana od dana objave u "Narodnim novinama Županije Posavske", a primjenjivat će se za fiskalnu 2025.godinu.</t>
  </si>
  <si>
    <t xml:space="preserve">Broj: </t>
  </si>
  <si>
    <t xml:space="preserve">Domaljevac, </t>
  </si>
  <si>
    <t>11 (12)</t>
  </si>
  <si>
    <t>220 (221)</t>
  </si>
  <si>
    <t xml:space="preserve"> Naknade troškova zaposlenih - volonteri</t>
  </si>
  <si>
    <t>VLADA ŽUPANIJE POSAVSKE - URED ZA BORBU PROTIV KORUPCIJE ŽUPANIJE POSAVSKE</t>
  </si>
  <si>
    <t>VLADA ŽUPANIJE POSAVSKE - URED ZA RAZVOJ I EUROPSKE INTEGRACIJE ŽUPANIJE POSAVSKE</t>
  </si>
  <si>
    <t>Vlada ŽP - Ured za borbu protiv korupcije ŽP</t>
  </si>
  <si>
    <t>Vlada ŽP - Ured za razvoj i europske integracije  ŽP</t>
  </si>
  <si>
    <t>Vlada ŽP - Ured za borbu protiv korupcije Županije Posavske</t>
  </si>
  <si>
    <t>Vlada ŽP - Ured za razvoj i europske integracije Županije Posavske</t>
  </si>
  <si>
    <t>Javni red i sigurnost       (18+….+23)</t>
  </si>
  <si>
    <t xml:space="preserve"> o/č Naknade troškova zaposlenih - volonteri</t>
  </si>
  <si>
    <t xml:space="preserve"> o/č Ugovorene i druge posebne usluge-volont.rad</t>
  </si>
  <si>
    <t>222 (223)</t>
  </si>
  <si>
    <t>1 (2)</t>
  </si>
  <si>
    <t>30 (31)</t>
  </si>
  <si>
    <t>43 (44)</t>
  </si>
  <si>
    <t>45 (45)</t>
  </si>
  <si>
    <t>40 (48)</t>
  </si>
  <si>
    <t>59 (62)</t>
  </si>
  <si>
    <t>108 (110)</t>
  </si>
  <si>
    <t>34 (37)</t>
  </si>
  <si>
    <t>39 (42)</t>
  </si>
  <si>
    <t>16 (21)</t>
  </si>
  <si>
    <t>12 (13)</t>
  </si>
  <si>
    <t>976 (1012)</t>
  </si>
  <si>
    <t xml:space="preserve">   Naknada  u postupku promjene namjene šumskog zemljišta (krčenje šuma) 
   utvrđena županijskim propisima</t>
  </si>
  <si>
    <t xml:space="preserve">   Vlastiti prihodi od iznajmljivanja opreme</t>
  </si>
  <si>
    <t xml:space="preserve">   Vlastiti javni prihodi od prodaje usluga, pristupa i korištenja</t>
  </si>
  <si>
    <t xml:space="preserve">   Vlastiti javni prihodi od oglašavanja proizvoda i usluga</t>
  </si>
  <si>
    <t xml:space="preserve">   Vlastiti javni prihodi od distrib.i prodaje pisanih, foto i video publik.i 
   materijala, obrazaca </t>
  </si>
  <si>
    <t xml:space="preserve">   Vlastiti javni prihodi od ostalih aktivnosti</t>
  </si>
  <si>
    <r>
      <t xml:space="preserve">      15010001 Ministarstvo gospodarstva,rada i prost.uređenja - Federalno
      ministarstvo prostornog uređenja - Prostorni plan </t>
    </r>
    <r>
      <rPr>
        <b/>
        <i/>
        <sz val="10"/>
        <color indexed="8"/>
        <rFont val="Arial"/>
        <family val="2"/>
        <charset val="238"/>
      </rPr>
      <t>(razgr.)</t>
    </r>
  </si>
  <si>
    <t xml:space="preserve">      17010001 Ministarstvo zdravstva i socijalne politike - Federalno
      ministarstvo rada i socijalne politike - Civilne žrtve rata</t>
  </si>
  <si>
    <t xml:space="preserve">      19010001 Ministarstvo poljoprivrede, vodoprivrede i šumarstva - 
      Uređenje odvodne kanalske mreže na prostoru ŽP (razgr,2022.)</t>
  </si>
  <si>
    <t xml:space="preserve">      20010001 Ministarstvo prosvjete, znanosti, kulture i sporta - Federalno 
      ministarstvo obrazovanja i nauke - Podrška programima razvijanja 
      funkcion.znanja i vještina djece predškolskog uzrasta i učenika javnih 
      osnovnih i javnih srednjih škola (2024.)</t>
  </si>
  <si>
    <t xml:space="preserve">      20010001 Ministarstvo prosvjete, znanosti, kulture i sporta - Federalno 
      ministarstvo obrazovanja i nauke -  Nabavka  udžbenika za učenike 
      osnovnih škola u FBiH od 1. do 5. razreda (2024.)</t>
  </si>
  <si>
    <t xml:space="preserve">           o/t za financiranje/sufinanciranje infrastrukturnih projekata</t>
  </si>
  <si>
    <r>
      <t xml:space="preserve">      99999999 Riznica ŽP - Fed.ministarstvo financija - Prorač.potpora za 
      2024. godinu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</si>
  <si>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   99999999 Riznica ŽP - Fed.ministarstvo financija - Proračunska potpora 
      za 2025..godinu</t>
  </si>
  <si>
    <r>
      <t xml:space="preserve">      99999999 Riznica ŽP - Fed.ministarstvo financija - Prorač.potpora za 
      2023. godinu </t>
    </r>
    <r>
      <rPr>
        <b/>
        <i/>
        <sz val="10"/>
        <color indexed="8"/>
        <rFont val="Arial"/>
        <family val="2"/>
        <charset val="238"/>
      </rPr>
      <t>(razgraničenja)</t>
    </r>
  </si>
  <si>
    <t xml:space="preserve">      99999999 Riznica ŽP  - Fed.ministars.obrazovanja i nauke - - Nabavka  
      udžbenika za učenike osnovnih škola u FBiH od 1. do 5.razreda (2024.) - 
      refundacija</t>
  </si>
  <si>
    <t xml:space="preserve">      11010001 Vlada Županije Posavske - Središnji državni ured za Hrvate 
       izvan RH - Druga faza izgradnje Vatrogasnog doma (2024)</t>
  </si>
  <si>
    <t xml:space="preserve">      15010001 Ministarstvo gospodarstva, rada i prostornog uređenja ŽP - 
      Minist.regionalnog razvoja i fondova EU RH - Igranje danas, planiranje za 
      sutra: Dj.igralište i zajednička vizija plinske budućnosti (2024)</t>
  </si>
  <si>
    <r>
      <t xml:space="preserve">      20010001 Ministarstvo prosvjete, znanosti, kulture i sporta - Središnji 
      državni ured za Hrvate izvan RH - Izgradnja vanjskih sportskih terena 
      Školskog centra fra Martina Nedića Orašje (</t>
    </r>
    <r>
      <rPr>
        <b/>
        <i/>
        <sz val="10"/>
        <color rgb="FF000000"/>
        <rFont val="Arial"/>
        <family val="2"/>
        <charset val="238"/>
      </rPr>
      <t>razgr.</t>
    </r>
    <r>
      <rPr>
        <i/>
        <sz val="10"/>
        <color indexed="8"/>
        <rFont val="Arial"/>
        <family val="2"/>
        <charset val="238"/>
      </rPr>
      <t>)</t>
    </r>
  </si>
  <si>
    <t xml:space="preserve">      20030002 OŠ Vladimira Nazora u Odžaku - Središnji državni ured za 
      Hrvate izvan RH - Uređenje ženske svlačionice u Centralnoj školi (2024.)</t>
  </si>
  <si>
    <t xml:space="preserve">      20030003 OŠ R.Boškovića u D.Mahali - Minist.regionalnog razvoja i 
      fondova EU RH - Iz produženog boravka u vanjsku učionicu (2024)</t>
  </si>
  <si>
    <t xml:space="preserve">      20030005 OŠ S.Radića u Boku - Ministarstvo regionalnog razvoja i 
      fondova EU RH - Mostovi rasta (2024)</t>
  </si>
  <si>
    <t xml:space="preserve">      20030006 OŠ A.G.Matoša u Vidovicama - Središnji državni ured za 
      Hrvate izvan RH - Betoniranje/asfaltiranje prilazne staze za učenike 
      prema zgradi škole (2024)</t>
  </si>
  <si>
    <t xml:space="preserve">      23010001 Županijska uprava civilne zaštite - Minist.region.razvoja i 
      fondova EU RH - Projekt nabave opreme za JVP Vinkovci i Žup.upravu 
      civilne zaštite Orašje (2024)</t>
  </si>
  <si>
    <t xml:space="preserve">      11010001 Vlada Županije Posavske - Feder.ministarstvo prometa i  
      komunikacija- Sanacija regionalnih cesta u Posavskom kantonu (2023.) - 
      refundacija</t>
  </si>
  <si>
    <t xml:space="preserve">      11010001 Vlada Županije Posavske - Federalno ministarstvo prostornog 
      uređenja  - Zamjena krova na zgradi Općinskog suda u Orašju (2024.)</t>
  </si>
  <si>
    <t xml:space="preserve">      11010001 Vlada Županije Posavske - Federalno ministarstvo prostornog 
      uređenja  - Zamjena krova na zgradi Vlade Županije Posavske u Orašju 
      (2024.)</t>
  </si>
  <si>
    <t xml:space="preserve">      18010001 Ministarstvo prometa, veza i zaštite okoliša - Feder.ministarstvo 
      raseljenih osoba i izbjeglica - Sanacija i rekonstrukcija lokalnih cesta na 
      području Općine Odžak - Omladinska ulica" (2023) - razgraničenja</t>
  </si>
  <si>
    <t xml:space="preserve">      18010001 Ministarstvo prometa, veza i zaštite okoliša - Federalno 
      ministarstvo okoliša  turizma - Izrada stručnih obrazloženja za 
      proglašenje bare Tišine i bare Starače zaštićenim područjem (2024)</t>
  </si>
  <si>
    <t xml:space="preserve">      18010001 Ministarstvo prometa, veza i zaštite okoliša - Fed.ministarstvo 
      prometa  komunikacija -Sanacija regionalnih cesta na području Županije 
      Posavske (2024)</t>
  </si>
  <si>
    <r>
      <t xml:space="preserve">      20010001 Ministarstvo prosvjete, znanosti, kulture i sporta - Federalno 
      ministarstvo prostornog uređenja - </t>
    </r>
    <r>
      <rPr>
        <i/>
        <sz val="10"/>
        <rFont val="Arial"/>
        <family val="2"/>
        <charset val="238"/>
      </rPr>
      <t>Provođenje mjera energijske 
      učinkovitosti na  objektu velike sportske dvorane Srednje škole Pere 
      Zečevića Odžak</t>
    </r>
    <r>
      <rPr>
        <i/>
        <sz val="10"/>
        <color indexed="8"/>
        <rFont val="Arial"/>
        <family val="2"/>
        <charset val="238"/>
      </rPr>
      <t xml:space="preserve"> (2024.)</t>
    </r>
  </si>
  <si>
    <t xml:space="preserve">      20010001 Ministarstvo prosvjete, znanosti, kulture i sporta - Federalno 
      ministarstvo prostornog uređenja -Provođenje mjera energijske 
      učinkovitosti na objektu Srednje strukovne škole Orašje (2024.)</t>
  </si>
  <si>
    <t xml:space="preserve">      20010001 Ministarstvo prosvjete, znanosti, kulture i sporta - Fond za 
      zaštitu okoliša FBiH - Provođenje mjera energetske učinkovitosti na 
      aneksu objekta SŠ P.Zečevića u Odžaku (2024.)</t>
  </si>
  <si>
    <r>
      <t xml:space="preserve">      </t>
    </r>
    <r>
      <rPr>
        <i/>
        <sz val="10"/>
        <color rgb="FF000000"/>
        <rFont val="Arial"/>
        <family val="2"/>
        <charset val="238"/>
      </rPr>
      <t>23010001 Županijska uprava civilne zaštite - Federalno ministarstvo 
      prostornog uređenja  - Utopljavanje zgrade Vatrogasnog doma u Odžaku 
      (2024.)</t>
    </r>
  </si>
  <si>
    <t xml:space="preserve">      24010001 Kantonalni sud Odžak -  Fond za zaštitu okoliša FBiH - 
      Realizacija programa, projekata i sličnih aktivnosti iz područja zaštite 
      okoliša - ugradnja visokotempreaturne toplotne pumpe (2024)</t>
  </si>
  <si>
    <t xml:space="preserve"> Kapitalni grant vjerskim zajednicama za realizaciju 
 projekata obnove sakralnih objekata  
</t>
  </si>
  <si>
    <t>615300</t>
  </si>
  <si>
    <t xml:space="preserve"> Kapitalni grant vjerskim zajednicama za realizaciju projekata 
 obnove sakralnih objekata</t>
  </si>
  <si>
    <r>
      <t xml:space="preserve">      20010001 Ministarstvo prosvjete, znanosti, kulture i sporta - Središnji 
      državni ured za Hrvate izvan RH - Unapređenje odgojno-obrazovnog
      sustava u Osnovnoj školi V.Nazora u Odžaku - Sportska dvorana - 
      I.faza (</t>
    </r>
    <r>
      <rPr>
        <b/>
        <i/>
        <sz val="10"/>
        <color rgb="FF000000"/>
        <rFont val="Arial"/>
        <family val="2"/>
        <charset val="238"/>
      </rPr>
      <t>razgr.</t>
    </r>
    <r>
      <rPr>
        <i/>
        <sz val="10"/>
        <color indexed="8"/>
        <rFont val="Arial"/>
        <family val="2"/>
        <charset val="238"/>
      </rPr>
      <t>)</t>
    </r>
  </si>
  <si>
    <t>PRORAČUN za 2024. (NN ŽP 20/23, 15/24)</t>
  </si>
  <si>
    <t xml:space="preserve">      18010001 Ministarstvo prometa, veza i zaštite okoliša - Fond za zaštitu 
      okoliša FBiH -Sanacija divljih odlagališta otpada u području zaštićenih
     kopnenih krajobraza u zonama izvorišta i uz vodotoke (2024)</t>
  </si>
  <si>
    <t xml:space="preserve">      18010001 Ministarstvo prometa, veza i zaštite okoliša - Fond za zaštitu 
      okoliša FBiH -Inventarizacija, valorizacija i analiza trenutnog stanja 
      krajobraza Starače i Tišina (2024)</t>
  </si>
  <si>
    <t>2 (3)</t>
  </si>
  <si>
    <t>210 (212)</t>
  </si>
  <si>
    <t>11 (13)</t>
  </si>
  <si>
    <t xml:space="preserve"> Ugovorene i dr. posebne usluge-volonteri</t>
  </si>
  <si>
    <t>59 (63)</t>
  </si>
  <si>
    <t>16 (20)</t>
  </si>
  <si>
    <t>31 (32)</t>
  </si>
  <si>
    <t xml:space="preserve"> Nabavka mat.i sitn.invent.-obroci za djecu programa 
 predškole i učenike</t>
  </si>
  <si>
    <t xml:space="preserve"> o/č  Nabavka mat.i sitn.invent.-obroci za djecu programa  
       predškole i učenike</t>
  </si>
  <si>
    <t xml:space="preserve"> Grant za obilježavanje značajnih datuma i drugih aktivnosti 
 vezano za Domovinski rat</t>
  </si>
  <si>
    <t xml:space="preserve"> o/č Grant za obilježavanje značajnih datuma i drugih aktivnosti 
      vezano za Domovinski rat </t>
  </si>
  <si>
    <t xml:space="preserve">   Povrati invalidnina iz ranijih godina</t>
  </si>
  <si>
    <t>971 (1011)</t>
  </si>
  <si>
    <t xml:space="preserve"> o/č Grant za branitelje i stradalnike Dom. rata</t>
  </si>
  <si>
    <t>NACRT</t>
  </si>
  <si>
    <t>PRORAČUN za 
2024.godinu (NN ŽP 20/23, 15/24)</t>
  </si>
  <si>
    <t>PRORAČUN za 2024.(NN ŽP 20/23 i 15/24) / Poveć./smanjenje Proračuna za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</si>
</sst>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#,##0\ &quot;KM&quot;;\-#,##0\ &quot;KM&quot;"/>
    <numFmt numFmtId="43" formatCode="_-* #,##0.00_-;\-* #,##0.00_-;_-* &quot;-&quot;??_-;_-@_-"/>
    <numFmt numFmtId="164" formatCode="#,##0\ &quot;kn&quot;;[Red]\-#,##0\ &quot;kn&quot;"/>
    <numFmt numFmtId="165" formatCode="_-* #,##0.00\ _k_n_-;\-* #,##0.00\ _k_n_-;_-* &quot;-&quot;??\ _k_n_-;_-@_-"/>
    <numFmt numFmtId="166" formatCode="_-* #,##0_-;\-* #,##0_-;_-* &quot;-&quot;??_-;_-@_-"/>
    <numFmt numFmtId="167" formatCode="000"/>
  </numFmts>
  <fonts count="5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b/>
      <sz val="10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i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charset val="238"/>
    </font>
    <font>
      <b/>
      <sz val="10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1"/>
      <color rgb="FFC00000"/>
      <name val="Arial"/>
      <family val="2"/>
    </font>
    <font>
      <sz val="11"/>
      <color rgb="FFC00000"/>
      <name val="Calibri"/>
      <family val="2"/>
      <charset val="238"/>
      <scheme val="minor"/>
    </font>
    <font>
      <i/>
      <sz val="10"/>
      <color rgb="FFC00000"/>
      <name val="Arial"/>
      <family val="2"/>
      <charset val="238"/>
    </font>
    <font>
      <b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43" fontId="11" fillId="0" borderId="0" applyFont="0" applyFill="0" applyBorder="0" applyAlignment="0" applyProtection="0"/>
    <xf numFmtId="0" fontId="24" fillId="5" borderId="0" applyNumberFormat="0" applyBorder="0" applyAlignment="0" applyProtection="0"/>
    <xf numFmtId="0" fontId="2" fillId="0" borderId="0"/>
    <xf numFmtId="0" fontId="10" fillId="0" borderId="0"/>
    <xf numFmtId="9" fontId="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49" fillId="0" borderId="0" applyFont="0" applyFill="0" applyBorder="0" applyAlignment="0" applyProtection="0"/>
  </cellStyleXfs>
  <cellXfs count="689">
    <xf numFmtId="0" fontId="0" fillId="0" borderId="0" xfId="0"/>
    <xf numFmtId="0" fontId="3" fillId="0" borderId="0" xfId="3" applyFont="1"/>
    <xf numFmtId="0" fontId="3" fillId="0" borderId="0" xfId="3" applyFont="1" applyAlignment="1">
      <alignment horizontal="center"/>
    </xf>
    <xf numFmtId="0" fontId="3" fillId="0" borderId="1" xfId="3" applyFont="1" applyBorder="1" applyAlignment="1">
      <alignment horizontal="center" vertical="center" textRotation="90" wrapText="1"/>
    </xf>
    <xf numFmtId="0" fontId="3" fillId="0" borderId="3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49" fontId="3" fillId="0" borderId="3" xfId="3" applyNumberFormat="1" applyFont="1" applyBorder="1" applyAlignment="1">
      <alignment horizontal="center"/>
    </xf>
    <xf numFmtId="49" fontId="3" fillId="0" borderId="4" xfId="3" applyNumberFormat="1" applyFont="1" applyBorder="1" applyAlignment="1">
      <alignment horizontal="center"/>
    </xf>
    <xf numFmtId="0" fontId="3" fillId="0" borderId="4" xfId="3" applyFont="1" applyBorder="1"/>
    <xf numFmtId="0" fontId="2" fillId="0" borderId="0" xfId="3"/>
    <xf numFmtId="0" fontId="2" fillId="0" borderId="3" xfId="3" applyBorder="1"/>
    <xf numFmtId="0" fontId="2" fillId="0" borderId="4" xfId="3" applyBorder="1"/>
    <xf numFmtId="0" fontId="3" fillId="0" borderId="3" xfId="3" applyFont="1" applyBorder="1"/>
    <xf numFmtId="0" fontId="4" fillId="0" borderId="4" xfId="3" applyFont="1" applyBorder="1"/>
    <xf numFmtId="3" fontId="3" fillId="0" borderId="4" xfId="3" applyNumberFormat="1" applyFont="1" applyBorder="1"/>
    <xf numFmtId="0" fontId="2" fillId="0" borderId="5" xfId="3" applyBorder="1"/>
    <xf numFmtId="0" fontId="2" fillId="0" borderId="6" xfId="3" applyBorder="1"/>
    <xf numFmtId="0" fontId="2" fillId="0" borderId="0" xfId="3" applyAlignment="1">
      <alignment horizontal="center"/>
    </xf>
    <xf numFmtId="3" fontId="3" fillId="0" borderId="4" xfId="3" applyNumberFormat="1" applyFont="1" applyBorder="1" applyAlignment="1">
      <alignment horizontal="right"/>
    </xf>
    <xf numFmtId="0" fontId="3" fillId="0" borderId="4" xfId="3" applyFont="1" applyBorder="1" applyAlignment="1">
      <alignment horizontal="left"/>
    </xf>
    <xf numFmtId="0" fontId="3" fillId="0" borderId="7" xfId="3" applyFont="1" applyBorder="1"/>
    <xf numFmtId="0" fontId="0" fillId="0" borderId="4" xfId="0" applyBorder="1"/>
    <xf numFmtId="0" fontId="2" fillId="0" borderId="8" xfId="3" applyBorder="1"/>
    <xf numFmtId="0" fontId="3" fillId="0" borderId="8" xfId="3" applyFont="1" applyBorder="1"/>
    <xf numFmtId="0" fontId="3" fillId="0" borderId="4" xfId="0" applyFont="1" applyBorder="1"/>
    <xf numFmtId="0" fontId="2" fillId="0" borderId="9" xfId="3" applyBorder="1"/>
    <xf numFmtId="0" fontId="2" fillId="0" borderId="5" xfId="3" applyBorder="1" applyAlignment="1">
      <alignment horizontal="center"/>
    </xf>
    <xf numFmtId="3" fontId="2" fillId="0" borderId="4" xfId="3" applyNumberFormat="1" applyBorder="1"/>
    <xf numFmtId="3" fontId="4" fillId="0" borderId="4" xfId="3" applyNumberFormat="1" applyFont="1" applyBorder="1"/>
    <xf numFmtId="3" fontId="2" fillId="0" borderId="6" xfId="3" applyNumberFormat="1" applyBorder="1"/>
    <xf numFmtId="0" fontId="2" fillId="0" borderId="0" xfId="3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4" xfId="3" applyFont="1" applyBorder="1" applyAlignment="1">
      <alignment horizontal="left"/>
    </xf>
    <xf numFmtId="3" fontId="4" fillId="0" borderId="4" xfId="3" applyNumberFormat="1" applyFont="1" applyBorder="1" applyAlignment="1">
      <alignment horizontal="right"/>
    </xf>
    <xf numFmtId="0" fontId="4" fillId="0" borderId="4" xfId="0" applyFont="1" applyBorder="1"/>
    <xf numFmtId="0" fontId="3" fillId="0" borderId="0" xfId="0" applyFont="1"/>
    <xf numFmtId="0" fontId="3" fillId="0" borderId="12" xfId="3" applyFont="1" applyBorder="1"/>
    <xf numFmtId="0" fontId="2" fillId="0" borderId="13" xfId="3" applyBorder="1" applyAlignment="1">
      <alignment horizontal="center"/>
    </xf>
    <xf numFmtId="0" fontId="2" fillId="0" borderId="14" xfId="3" applyBorder="1"/>
    <xf numFmtId="3" fontId="2" fillId="0" borderId="15" xfId="3" applyNumberFormat="1" applyBorder="1"/>
    <xf numFmtId="2" fontId="3" fillId="0" borderId="0" xfId="3" applyNumberFormat="1" applyFont="1"/>
    <xf numFmtId="3" fontId="2" fillId="0" borderId="0" xfId="3" applyNumberFormat="1"/>
    <xf numFmtId="3" fontId="3" fillId="0" borderId="0" xfId="3" applyNumberFormat="1" applyFont="1"/>
    <xf numFmtId="0" fontId="4" fillId="0" borderId="0" xfId="3" applyFont="1"/>
    <xf numFmtId="0" fontId="4" fillId="0" borderId="3" xfId="3" applyFont="1" applyBorder="1"/>
    <xf numFmtId="0" fontId="4" fillId="0" borderId="0" xfId="0" applyFont="1"/>
    <xf numFmtId="3" fontId="0" fillId="0" borderId="0" xfId="0" applyNumberFormat="1"/>
    <xf numFmtId="0" fontId="3" fillId="2" borderId="4" xfId="0" applyFont="1" applyFill="1" applyBorder="1" applyAlignment="1">
      <alignment horizontal="center"/>
    </xf>
    <xf numFmtId="3" fontId="3" fillId="0" borderId="0" xfId="3" applyNumberFormat="1" applyFont="1" applyAlignment="1">
      <alignment horizontal="center"/>
    </xf>
    <xf numFmtId="0" fontId="5" fillId="0" borderId="0" xfId="3" applyFont="1" applyAlignment="1">
      <alignment horizontal="left"/>
    </xf>
    <xf numFmtId="4" fontId="2" fillId="0" borderId="0" xfId="3" applyNumberFormat="1"/>
    <xf numFmtId="4" fontId="2" fillId="0" borderId="20" xfId="3" applyNumberFormat="1" applyBorder="1"/>
    <xf numFmtId="0" fontId="3" fillId="0" borderId="10" xfId="3" applyFont="1" applyBorder="1" applyAlignment="1">
      <alignment horizontal="center"/>
    </xf>
    <xf numFmtId="3" fontId="3" fillId="0" borderId="4" xfId="3" applyNumberFormat="1" applyFont="1" applyBorder="1" applyAlignment="1">
      <alignment horizontal="center"/>
    </xf>
    <xf numFmtId="3" fontId="3" fillId="0" borderId="6" xfId="3" applyNumberFormat="1" applyFont="1" applyBorder="1"/>
    <xf numFmtId="4" fontId="4" fillId="0" borderId="19" xfId="3" applyNumberFormat="1" applyFont="1" applyBorder="1" applyAlignment="1">
      <alignment horizontal="right"/>
    </xf>
    <xf numFmtId="3" fontId="4" fillId="0" borderId="0" xfId="0" applyNumberFormat="1" applyFont="1"/>
    <xf numFmtId="5" fontId="9" fillId="0" borderId="14" xfId="3" applyNumberFormat="1" applyFont="1" applyBorder="1"/>
    <xf numFmtId="0" fontId="2" fillId="0" borderId="3" xfId="3" applyBorder="1" applyAlignment="1">
      <alignment vertical="center"/>
    </xf>
    <xf numFmtId="0" fontId="2" fillId="0" borderId="4" xfId="3" applyBorder="1" applyAlignment="1">
      <alignment vertical="center"/>
    </xf>
    <xf numFmtId="0" fontId="2" fillId="0" borderId="8" xfId="3" applyBorder="1" applyAlignment="1">
      <alignment vertical="center"/>
    </xf>
    <xf numFmtId="0" fontId="2" fillId="0" borderId="0" xfId="3" applyAlignment="1">
      <alignment vertical="center"/>
    </xf>
    <xf numFmtId="0" fontId="4" fillId="0" borderId="4" xfId="3" applyFont="1" applyBorder="1" applyAlignment="1">
      <alignment vertical="center"/>
    </xf>
    <xf numFmtId="0" fontId="8" fillId="0" borderId="0" xfId="0" applyFont="1"/>
    <xf numFmtId="0" fontId="12" fillId="0" borderId="0" xfId="0" applyFont="1"/>
    <xf numFmtId="3" fontId="4" fillId="0" borderId="4" xfId="0" applyNumberFormat="1" applyFont="1" applyBorder="1" applyAlignment="1">
      <alignment horizontal="right" vertical="center"/>
    </xf>
    <xf numFmtId="3" fontId="0" fillId="0" borderId="4" xfId="0" applyNumberFormat="1" applyBorder="1"/>
    <xf numFmtId="3" fontId="3" fillId="0" borderId="4" xfId="0" applyNumberFormat="1" applyFont="1" applyBorder="1"/>
    <xf numFmtId="0" fontId="0" fillId="0" borderId="4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3" fillId="2" borderId="0" xfId="0" applyFont="1" applyFill="1"/>
    <xf numFmtId="0" fontId="3" fillId="2" borderId="4" xfId="0" applyFont="1" applyFill="1" applyBorder="1"/>
    <xf numFmtId="3" fontId="3" fillId="2" borderId="4" xfId="0" applyNumberFormat="1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" fontId="3" fillId="2" borderId="0" xfId="0" applyNumberFormat="1" applyFont="1" applyFill="1"/>
    <xf numFmtId="0" fontId="0" fillId="0" borderId="14" xfId="0" applyBorder="1"/>
    <xf numFmtId="0" fontId="18" fillId="0" borderId="0" xfId="0" applyFont="1"/>
    <xf numFmtId="0" fontId="19" fillId="0" borderId="0" xfId="0" applyFont="1" applyAlignment="1">
      <alignment horizontal="centerContinuous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Continuous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Continuous" vertical="center" wrapText="1"/>
    </xf>
    <xf numFmtId="0" fontId="3" fillId="0" borderId="1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left" vertical="center" wrapText="1"/>
    </xf>
    <xf numFmtId="4" fontId="4" fillId="0" borderId="4" xfId="0" applyNumberFormat="1" applyFont="1" applyBorder="1"/>
    <xf numFmtId="3" fontId="3" fillId="0" borderId="0" xfId="0" applyNumberFormat="1" applyFont="1"/>
    <xf numFmtId="2" fontId="3" fillId="0" borderId="0" xfId="0" applyNumberFormat="1" applyFont="1" applyAlignment="1">
      <alignment horizontal="right"/>
    </xf>
    <xf numFmtId="10" fontId="0" fillId="0" borderId="0" xfId="0" applyNumberFormat="1"/>
    <xf numFmtId="3" fontId="10" fillId="0" borderId="4" xfId="4" applyNumberFormat="1" applyBorder="1"/>
    <xf numFmtId="3" fontId="3" fillId="0" borderId="4" xfId="4" applyNumberFormat="1" applyFont="1" applyBorder="1"/>
    <xf numFmtId="3" fontId="10" fillId="0" borderId="10" xfId="4" applyNumberFormat="1" applyBorder="1"/>
    <xf numFmtId="3" fontId="3" fillId="0" borderId="10" xfId="4" applyNumberFormat="1" applyFont="1" applyBorder="1"/>
    <xf numFmtId="0" fontId="23" fillId="0" borderId="4" xfId="3" applyFont="1" applyBorder="1"/>
    <xf numFmtId="3" fontId="23" fillId="0" borderId="4" xfId="3" applyNumberFormat="1" applyFont="1" applyBorder="1"/>
    <xf numFmtId="4" fontId="23" fillId="0" borderId="19" xfId="3" applyNumberFormat="1" applyFont="1" applyBorder="1" applyAlignment="1">
      <alignment horizontal="right"/>
    </xf>
    <xf numFmtId="0" fontId="4" fillId="0" borderId="3" xfId="3" applyFont="1" applyBorder="1" applyAlignment="1">
      <alignment horizontal="center" vertical="top"/>
    </xf>
    <xf numFmtId="0" fontId="2" fillId="0" borderId="3" xfId="3" applyBorder="1" applyAlignment="1">
      <alignment horizontal="center" vertical="top"/>
    </xf>
    <xf numFmtId="0" fontId="23" fillId="0" borderId="3" xfId="3" applyFont="1" applyBorder="1" applyAlignment="1">
      <alignment horizontal="right" vertical="top"/>
    </xf>
    <xf numFmtId="0" fontId="3" fillId="0" borderId="14" xfId="3" applyFont="1" applyBorder="1" applyAlignment="1">
      <alignment horizontal="right"/>
    </xf>
    <xf numFmtId="0" fontId="0" fillId="0" borderId="0" xfId="0" applyAlignment="1">
      <alignment wrapText="1"/>
    </xf>
    <xf numFmtId="3" fontId="12" fillId="0" borderId="0" xfId="0" applyNumberFormat="1" applyFont="1"/>
    <xf numFmtId="3" fontId="8" fillId="0" borderId="0" xfId="0" applyNumberFormat="1" applyFont="1"/>
    <xf numFmtId="4" fontId="8" fillId="0" borderId="0" xfId="0" applyNumberFormat="1" applyFont="1"/>
    <xf numFmtId="0" fontId="8" fillId="0" borderId="4" xfId="0" applyFont="1" applyBorder="1" applyAlignment="1">
      <alignment horizontal="center"/>
    </xf>
    <xf numFmtId="4" fontId="8" fillId="0" borderId="19" xfId="3" applyNumberFormat="1" applyFont="1" applyBorder="1" applyAlignment="1">
      <alignment horizontal="right"/>
    </xf>
    <xf numFmtId="3" fontId="2" fillId="0" borderId="10" xfId="3" applyNumberFormat="1" applyBorder="1"/>
    <xf numFmtId="3" fontId="3" fillId="3" borderId="10" xfId="3" applyNumberFormat="1" applyFont="1" applyFill="1" applyBorder="1"/>
    <xf numFmtId="3" fontId="4" fillId="0" borderId="10" xfId="3" applyNumberFormat="1" applyFont="1" applyBorder="1"/>
    <xf numFmtId="3" fontId="3" fillId="0" borderId="10" xfId="3" applyNumberFormat="1" applyFont="1" applyBorder="1" applyAlignment="1">
      <alignment horizontal="right"/>
    </xf>
    <xf numFmtId="3" fontId="3" fillId="0" borderId="10" xfId="3" applyNumberFormat="1" applyFont="1" applyBorder="1"/>
    <xf numFmtId="3" fontId="3" fillId="3" borderId="4" xfId="3" applyNumberFormat="1" applyFont="1" applyFill="1" applyBorder="1"/>
    <xf numFmtId="0" fontId="2" fillId="0" borderId="14" xfId="3" applyBorder="1" applyAlignment="1">
      <alignment horizontal="center"/>
    </xf>
    <xf numFmtId="0" fontId="25" fillId="0" borderId="4" xfId="3" applyFont="1" applyBorder="1" applyAlignment="1">
      <alignment horizontal="center"/>
    </xf>
    <xf numFmtId="0" fontId="27" fillId="0" borderId="4" xfId="3" applyFont="1" applyBorder="1" applyAlignment="1">
      <alignment horizontal="center"/>
    </xf>
    <xf numFmtId="0" fontId="27" fillId="0" borderId="6" xfId="3" applyFont="1" applyBorder="1" applyAlignment="1">
      <alignment horizontal="center"/>
    </xf>
    <xf numFmtId="0" fontId="27" fillId="0" borderId="0" xfId="3" applyFont="1" applyAlignment="1">
      <alignment horizontal="center"/>
    </xf>
    <xf numFmtId="0" fontId="27" fillId="0" borderId="4" xfId="3" applyFont="1" applyBorder="1" applyAlignment="1">
      <alignment horizontal="center" vertical="center"/>
    </xf>
    <xf numFmtId="0" fontId="27" fillId="0" borderId="12" xfId="3" applyFont="1" applyBorder="1" applyAlignment="1">
      <alignment horizontal="center"/>
    </xf>
    <xf numFmtId="0" fontId="27" fillId="0" borderId="11" xfId="3" applyFont="1" applyBorder="1" applyAlignment="1">
      <alignment horizontal="center"/>
    </xf>
    <xf numFmtId="0" fontId="27" fillId="0" borderId="10" xfId="3" applyFont="1" applyBorder="1" applyAlignment="1">
      <alignment horizontal="center"/>
    </xf>
    <xf numFmtId="0" fontId="25" fillId="0" borderId="11" xfId="3" applyFont="1" applyBorder="1" applyAlignment="1">
      <alignment horizontal="center"/>
    </xf>
    <xf numFmtId="0" fontId="17" fillId="0" borderId="10" xfId="3" applyFont="1" applyBorder="1" applyAlignment="1">
      <alignment horizontal="center"/>
    </xf>
    <xf numFmtId="0" fontId="16" fillId="0" borderId="10" xfId="3" applyFont="1" applyBorder="1" applyAlignment="1">
      <alignment horizontal="center" vertical="top"/>
    </xf>
    <xf numFmtId="0" fontId="28" fillId="0" borderId="10" xfId="3" applyFont="1" applyBorder="1" applyAlignment="1">
      <alignment horizontal="center" vertical="top"/>
    </xf>
    <xf numFmtId="0" fontId="16" fillId="0" borderId="10" xfId="3" applyFont="1" applyBorder="1" applyAlignment="1">
      <alignment horizontal="center"/>
    </xf>
    <xf numFmtId="0" fontId="16" fillId="0" borderId="32" xfId="3" applyFont="1" applyBorder="1" applyAlignment="1">
      <alignment horizontal="center"/>
    </xf>
    <xf numFmtId="0" fontId="17" fillId="0" borderId="4" xfId="3" applyFont="1" applyBorder="1" applyAlignment="1">
      <alignment horizontal="center"/>
    </xf>
    <xf numFmtId="0" fontId="16" fillId="0" borderId="4" xfId="3" applyFont="1" applyBorder="1" applyAlignment="1">
      <alignment horizontal="center"/>
    </xf>
    <xf numFmtId="0" fontId="16" fillId="0" borderId="6" xfId="3" applyFont="1" applyBorder="1" applyAlignment="1">
      <alignment horizontal="center"/>
    </xf>
    <xf numFmtId="0" fontId="16" fillId="0" borderId="0" xfId="3" applyFont="1" applyAlignment="1">
      <alignment horizontal="center"/>
    </xf>
    <xf numFmtId="0" fontId="16" fillId="0" borderId="4" xfId="3" applyFont="1" applyBorder="1" applyAlignment="1">
      <alignment horizontal="center" vertical="center"/>
    </xf>
    <xf numFmtId="0" fontId="16" fillId="0" borderId="12" xfId="3" applyFont="1" applyBorder="1" applyAlignment="1">
      <alignment horizontal="center"/>
    </xf>
    <xf numFmtId="0" fontId="16" fillId="0" borderId="11" xfId="3" applyFont="1" applyBorder="1" applyAlignment="1">
      <alignment horizontal="center"/>
    </xf>
    <xf numFmtId="49" fontId="16" fillId="0" borderId="10" xfId="0" applyNumberFormat="1" applyFont="1" applyBorder="1" applyAlignment="1">
      <alignment horizontal="center"/>
    </xf>
    <xf numFmtId="0" fontId="17" fillId="0" borderId="11" xfId="3" applyFont="1" applyBorder="1" applyAlignment="1">
      <alignment horizontal="center"/>
    </xf>
    <xf numFmtId="5" fontId="20" fillId="0" borderId="14" xfId="0" applyNumberFormat="1" applyFont="1" applyBorder="1"/>
    <xf numFmtId="4" fontId="20" fillId="0" borderId="0" xfId="3" applyNumberFormat="1" applyFont="1"/>
    <xf numFmtId="4" fontId="20" fillId="0" borderId="15" xfId="3" applyNumberFormat="1" applyFont="1" applyBorder="1"/>
    <xf numFmtId="49" fontId="27" fillId="0" borderId="4" xfId="0" applyNumberFormat="1" applyFont="1" applyBorder="1" applyAlignment="1">
      <alignment horizontal="center"/>
    </xf>
    <xf numFmtId="0" fontId="1" fillId="0" borderId="4" xfId="3" applyFont="1" applyBorder="1"/>
    <xf numFmtId="3" fontId="4" fillId="0" borderId="10" xfId="12" applyNumberFormat="1" applyFont="1" applyBorder="1"/>
    <xf numFmtId="3" fontId="8" fillId="0" borderId="4" xfId="12" applyNumberFormat="1" applyFont="1" applyBorder="1"/>
    <xf numFmtId="3" fontId="1" fillId="0" borderId="4" xfId="12" applyNumberFormat="1" applyBorder="1"/>
    <xf numFmtId="3" fontId="4" fillId="7" borderId="4" xfId="12" applyNumberFormat="1" applyFont="1" applyFill="1" applyBorder="1"/>
    <xf numFmtId="3" fontId="3" fillId="0" borderId="4" xfId="12" applyNumberFormat="1" applyFont="1" applyBorder="1"/>
    <xf numFmtId="3" fontId="4" fillId="0" borderId="4" xfId="12" applyNumberFormat="1" applyFont="1" applyBorder="1"/>
    <xf numFmtId="3" fontId="3" fillId="3" borderId="4" xfId="12" applyNumberFormat="1" applyFont="1" applyFill="1" applyBorder="1"/>
    <xf numFmtId="5" fontId="17" fillId="0" borderId="14" xfId="3" applyNumberFormat="1" applyFont="1" applyBorder="1"/>
    <xf numFmtId="5" fontId="3" fillId="0" borderId="0" xfId="3" applyNumberFormat="1" applyFont="1"/>
    <xf numFmtId="0" fontId="3" fillId="0" borderId="12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3" fillId="0" borderId="24" xfId="3" applyFont="1" applyBorder="1" applyAlignment="1">
      <alignment horizontal="center" vertical="center" textRotation="90" wrapText="1"/>
    </xf>
    <xf numFmtId="0" fontId="6" fillId="0" borderId="0" xfId="3" applyFont="1"/>
    <xf numFmtId="3" fontId="6" fillId="0" borderId="0" xfId="3" applyNumberFormat="1" applyFont="1"/>
    <xf numFmtId="3" fontId="6" fillId="0" borderId="15" xfId="3" applyNumberFormat="1" applyFont="1" applyBorder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6" borderId="3" xfId="3" applyFont="1" applyFill="1" applyBorder="1" applyAlignment="1">
      <alignment horizontal="center"/>
    </xf>
    <xf numFmtId="0" fontId="3" fillId="6" borderId="10" xfId="3" applyFont="1" applyFill="1" applyBorder="1" applyAlignment="1">
      <alignment horizontal="center"/>
    </xf>
    <xf numFmtId="0" fontId="3" fillId="6" borderId="4" xfId="3" applyFont="1" applyFill="1" applyBorder="1" applyAlignment="1">
      <alignment horizontal="left"/>
    </xf>
    <xf numFmtId="3" fontId="3" fillId="6" borderId="4" xfId="3" applyNumberFormat="1" applyFont="1" applyFill="1" applyBorder="1" applyAlignment="1">
      <alignment horizontal="right"/>
    </xf>
    <xf numFmtId="4" fontId="3" fillId="6" borderId="19" xfId="3" applyNumberFormat="1" applyFont="1" applyFill="1" applyBorder="1" applyAlignment="1">
      <alignment horizontal="right"/>
    </xf>
    <xf numFmtId="0" fontId="3" fillId="6" borderId="3" xfId="3" applyFont="1" applyFill="1" applyBorder="1" applyAlignment="1">
      <alignment horizontal="center" vertical="top"/>
    </xf>
    <xf numFmtId="0" fontId="17" fillId="6" borderId="10" xfId="3" applyFont="1" applyFill="1" applyBorder="1" applyAlignment="1">
      <alignment horizontal="center" vertical="top"/>
    </xf>
    <xf numFmtId="0" fontId="3" fillId="6" borderId="4" xfId="3" applyFont="1" applyFill="1" applyBorder="1"/>
    <xf numFmtId="3" fontId="3" fillId="6" borderId="4" xfId="3" applyNumberFormat="1" applyFont="1" applyFill="1" applyBorder="1"/>
    <xf numFmtId="4" fontId="8" fillId="6" borderId="19" xfId="3" applyNumberFormat="1" applyFont="1" applyFill="1" applyBorder="1" applyAlignment="1">
      <alignment horizontal="right"/>
    </xf>
    <xf numFmtId="0" fontId="21" fillId="2" borderId="2" xfId="0" applyFont="1" applyFill="1" applyBorder="1" applyAlignment="1">
      <alignment horizontal="center" vertical="center" wrapText="1"/>
    </xf>
    <xf numFmtId="0" fontId="30" fillId="0" borderId="0" xfId="0" applyFont="1"/>
    <xf numFmtId="3" fontId="1" fillId="0" borderId="4" xfId="0" applyNumberFormat="1" applyFont="1" applyBorder="1"/>
    <xf numFmtId="3" fontId="1" fillId="0" borderId="4" xfId="0" applyNumberFormat="1" applyFont="1" applyBorder="1" applyAlignment="1">
      <alignment horizontal="right" vertical="center"/>
    </xf>
    <xf numFmtId="3" fontId="1" fillId="0" borderId="21" xfId="0" applyNumberFormat="1" applyFont="1" applyBorder="1" applyAlignment="1">
      <alignment horizontal="right" vertical="center"/>
    </xf>
    <xf numFmtId="0" fontId="26" fillId="6" borderId="4" xfId="0" applyFont="1" applyFill="1" applyBorder="1" applyAlignment="1">
      <alignment horizontal="center" vertical="center"/>
    </xf>
    <xf numFmtId="0" fontId="26" fillId="6" borderId="4" xfId="0" applyFont="1" applyFill="1" applyBorder="1" applyAlignment="1">
      <alignment horizontal="center" vertical="center" wrapText="1"/>
    </xf>
    <xf numFmtId="0" fontId="26" fillId="6" borderId="4" xfId="0" applyFont="1" applyFill="1" applyBorder="1"/>
    <xf numFmtId="3" fontId="26" fillId="6" borderId="4" xfId="0" applyNumberFormat="1" applyFont="1" applyFill="1" applyBorder="1"/>
    <xf numFmtId="2" fontId="26" fillId="6" borderId="4" xfId="0" applyNumberFormat="1" applyFont="1" applyFill="1" applyBorder="1"/>
    <xf numFmtId="0" fontId="20" fillId="0" borderId="4" xfId="0" applyFont="1" applyBorder="1"/>
    <xf numFmtId="0" fontId="32" fillId="0" borderId="4" xfId="0" applyFont="1" applyBorder="1" applyAlignment="1">
      <alignment horizontal="center"/>
    </xf>
    <xf numFmtId="3" fontId="20" fillId="0" borderId="4" xfId="0" applyNumberFormat="1" applyFont="1" applyBorder="1"/>
    <xf numFmtId="2" fontId="20" fillId="0" borderId="4" xfId="0" applyNumberFormat="1" applyFont="1" applyBorder="1" applyAlignment="1">
      <alignment horizontal="right"/>
    </xf>
    <xf numFmtId="0" fontId="20" fillId="0" borderId="4" xfId="0" applyFont="1" applyBorder="1" applyAlignment="1">
      <alignment horizontal="left" vertical="center"/>
    </xf>
    <xf numFmtId="0" fontId="32" fillId="0" borderId="4" xfId="0" applyFont="1" applyBorder="1" applyAlignment="1">
      <alignment horizontal="center" vertical="center"/>
    </xf>
    <xf numFmtId="3" fontId="20" fillId="0" borderId="4" xfId="0" applyNumberFormat="1" applyFont="1" applyBorder="1" applyAlignment="1">
      <alignment horizontal="right" vertical="center"/>
    </xf>
    <xf numFmtId="2" fontId="20" fillId="0" borderId="4" xfId="0" applyNumberFormat="1" applyFont="1" applyBorder="1" applyAlignment="1">
      <alignment horizontal="right" vertical="center"/>
    </xf>
    <xf numFmtId="0" fontId="26" fillId="4" borderId="4" xfId="0" applyFont="1" applyFill="1" applyBorder="1"/>
    <xf numFmtId="0" fontId="33" fillId="4" borderId="4" xfId="0" applyFont="1" applyFill="1" applyBorder="1" applyAlignment="1">
      <alignment horizontal="center"/>
    </xf>
    <xf numFmtId="3" fontId="26" fillId="4" borderId="4" xfId="0" applyNumberFormat="1" applyFont="1" applyFill="1" applyBorder="1"/>
    <xf numFmtId="2" fontId="26" fillId="4" borderId="4" xfId="0" applyNumberFormat="1" applyFont="1" applyFill="1" applyBorder="1" applyAlignment="1">
      <alignment horizontal="right" vertical="center"/>
    </xf>
    <xf numFmtId="0" fontId="26" fillId="0" borderId="0" xfId="0" applyFont="1"/>
    <xf numFmtId="0" fontId="20" fillId="0" borderId="21" xfId="0" applyFont="1" applyBorder="1" applyAlignment="1">
      <alignment horizontal="left" vertical="center"/>
    </xf>
    <xf numFmtId="0" fontId="32" fillId="0" borderId="21" xfId="0" applyFont="1" applyBorder="1" applyAlignment="1">
      <alignment horizontal="center" vertical="center"/>
    </xf>
    <xf numFmtId="3" fontId="20" fillId="0" borderId="21" xfId="0" applyNumberFormat="1" applyFont="1" applyBorder="1" applyAlignment="1">
      <alignment horizontal="right" vertical="center"/>
    </xf>
    <xf numFmtId="2" fontId="20" fillId="0" borderId="21" xfId="0" applyNumberFormat="1" applyFont="1" applyBorder="1" applyAlignment="1">
      <alignment horizontal="right" vertical="center"/>
    </xf>
    <xf numFmtId="0" fontId="26" fillId="4" borderId="21" xfId="0" applyFont="1" applyFill="1" applyBorder="1" applyAlignment="1">
      <alignment horizontal="left" vertical="center"/>
    </xf>
    <xf numFmtId="0" fontId="33" fillId="4" borderId="21" xfId="0" applyFont="1" applyFill="1" applyBorder="1" applyAlignment="1">
      <alignment horizontal="center" vertical="center"/>
    </xf>
    <xf numFmtId="3" fontId="26" fillId="4" borderId="21" xfId="0" applyNumberFormat="1" applyFont="1" applyFill="1" applyBorder="1"/>
    <xf numFmtId="2" fontId="26" fillId="4" borderId="21" xfId="0" applyNumberFormat="1" applyFont="1" applyFill="1" applyBorder="1" applyAlignment="1">
      <alignment horizontal="right" vertical="center"/>
    </xf>
    <xf numFmtId="0" fontId="26" fillId="4" borderId="22" xfId="0" applyFont="1" applyFill="1" applyBorder="1"/>
    <xf numFmtId="0" fontId="33" fillId="4" borderId="22" xfId="0" applyFont="1" applyFill="1" applyBorder="1" applyAlignment="1">
      <alignment horizontal="center"/>
    </xf>
    <xf numFmtId="3" fontId="26" fillId="4" borderId="22" xfId="0" applyNumberFormat="1" applyFont="1" applyFill="1" applyBorder="1"/>
    <xf numFmtId="2" fontId="26" fillId="4" borderId="22" xfId="0" applyNumberFormat="1" applyFont="1" applyFill="1" applyBorder="1" applyAlignment="1">
      <alignment horizontal="right" vertical="center"/>
    </xf>
    <xf numFmtId="3" fontId="26" fillId="4" borderId="21" xfId="0" applyNumberFormat="1" applyFont="1" applyFill="1" applyBorder="1" applyAlignment="1">
      <alignment vertical="center"/>
    </xf>
    <xf numFmtId="0" fontId="26" fillId="4" borderId="4" xfId="0" applyFont="1" applyFill="1" applyBorder="1" applyAlignment="1">
      <alignment wrapText="1"/>
    </xf>
    <xf numFmtId="0" fontId="33" fillId="4" borderId="4" xfId="0" applyFont="1" applyFill="1" applyBorder="1" applyAlignment="1">
      <alignment horizontal="center" wrapText="1"/>
    </xf>
    <xf numFmtId="3" fontId="26" fillId="4" borderId="4" xfId="0" applyNumberFormat="1" applyFont="1" applyFill="1" applyBorder="1" applyAlignment="1">
      <alignment vertical="center"/>
    </xf>
    <xf numFmtId="0" fontId="26" fillId="0" borderId="23" xfId="0" applyFont="1" applyBorder="1"/>
    <xf numFmtId="0" fontId="33" fillId="0" borderId="23" xfId="0" applyFont="1" applyBorder="1" applyAlignment="1">
      <alignment horizontal="center"/>
    </xf>
    <xf numFmtId="4" fontId="20" fillId="0" borderId="23" xfId="0" applyNumberFormat="1" applyFont="1" applyBorder="1"/>
    <xf numFmtId="2" fontId="20" fillId="0" borderId="23" xfId="0" applyNumberFormat="1" applyFont="1" applyBorder="1" applyAlignment="1">
      <alignment horizontal="right" vertical="center"/>
    </xf>
    <xf numFmtId="3" fontId="20" fillId="0" borderId="0" xfId="0" applyNumberFormat="1" applyFont="1"/>
    <xf numFmtId="0" fontId="8" fillId="6" borderId="4" xfId="0" applyFont="1" applyFill="1" applyBorder="1" applyAlignment="1">
      <alignment horizontal="center" vertical="center" wrapText="1"/>
    </xf>
    <xf numFmtId="3" fontId="8" fillId="6" borderId="4" xfId="0" applyNumberFormat="1" applyFont="1" applyFill="1" applyBorder="1"/>
    <xf numFmtId="3" fontId="8" fillId="4" borderId="4" xfId="0" applyNumberFormat="1" applyFont="1" applyFill="1" applyBorder="1"/>
    <xf numFmtId="3" fontId="8" fillId="4" borderId="21" xfId="0" applyNumberFormat="1" applyFont="1" applyFill="1" applyBorder="1"/>
    <xf numFmtId="3" fontId="8" fillId="4" borderId="22" xfId="0" applyNumberFormat="1" applyFont="1" applyFill="1" applyBorder="1"/>
    <xf numFmtId="3" fontId="8" fillId="4" borderId="21" xfId="0" applyNumberFormat="1" applyFont="1" applyFill="1" applyBorder="1" applyAlignment="1">
      <alignment vertical="center"/>
    </xf>
    <xf numFmtId="3" fontId="8" fillId="4" borderId="4" xfId="0" applyNumberFormat="1" applyFont="1" applyFill="1" applyBorder="1" applyAlignment="1">
      <alignment vertical="center"/>
    </xf>
    <xf numFmtId="4" fontId="1" fillId="0" borderId="23" xfId="0" applyNumberFormat="1" applyFont="1" applyBorder="1"/>
    <xf numFmtId="0" fontId="34" fillId="0" borderId="0" xfId="0" applyFont="1"/>
    <xf numFmtId="0" fontId="35" fillId="0" borderId="4" xfId="0" applyFont="1" applyBorder="1" applyAlignment="1">
      <alignment horizontal="center"/>
    </xf>
    <xf numFmtId="0" fontId="35" fillId="0" borderId="4" xfId="0" applyFont="1" applyBorder="1" applyAlignment="1">
      <alignment horizontal="center" wrapText="1"/>
    </xf>
    <xf numFmtId="0" fontId="17" fillId="0" borderId="3" xfId="3" applyFont="1" applyBorder="1" applyAlignment="1">
      <alignment horizontal="center"/>
    </xf>
    <xf numFmtId="0" fontId="17" fillId="0" borderId="8" xfId="3" applyFont="1" applyBorder="1" applyAlignment="1">
      <alignment horizontal="center"/>
    </xf>
    <xf numFmtId="0" fontId="0" fillId="0" borderId="39" xfId="0" applyBorder="1"/>
    <xf numFmtId="0" fontId="27" fillId="0" borderId="48" xfId="0" applyFont="1" applyBorder="1" applyAlignment="1">
      <alignment horizontal="center"/>
    </xf>
    <xf numFmtId="0" fontId="27" fillId="0" borderId="0" xfId="0" applyFont="1"/>
    <xf numFmtId="0" fontId="27" fillId="0" borderId="40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4" fillId="6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left" vertical="center" wrapText="1"/>
    </xf>
    <xf numFmtId="3" fontId="3" fillId="6" borderId="4" xfId="0" applyNumberFormat="1" applyFont="1" applyFill="1" applyBorder="1" applyAlignment="1">
      <alignment horizontal="right" vertical="center"/>
    </xf>
    <xf numFmtId="4" fontId="3" fillId="6" borderId="4" xfId="0" applyNumberFormat="1" applyFont="1" applyFill="1" applyBorder="1" applyAlignment="1">
      <alignment vertical="center"/>
    </xf>
    <xf numFmtId="49" fontId="3" fillId="6" borderId="4" xfId="0" applyNumberFormat="1" applyFont="1" applyFill="1" applyBorder="1" applyAlignment="1">
      <alignment horizontal="center" vertical="center" wrapText="1"/>
    </xf>
    <xf numFmtId="167" fontId="3" fillId="6" borderId="4" xfId="0" applyNumberFormat="1" applyFont="1" applyFill="1" applyBorder="1" applyAlignment="1">
      <alignment horizontal="left" vertical="center" wrapText="1"/>
    </xf>
    <xf numFmtId="4" fontId="3" fillId="6" borderId="4" xfId="0" applyNumberFormat="1" applyFont="1" applyFill="1" applyBorder="1"/>
    <xf numFmtId="0" fontId="17" fillId="0" borderId="0" xfId="3" applyFont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1" fillId="0" borderId="0" xfId="0" applyFont="1"/>
    <xf numFmtId="0" fontId="1" fillId="0" borderId="4" xfId="0" applyFont="1" applyBorder="1"/>
    <xf numFmtId="3" fontId="8" fillId="0" borderId="4" xfId="12" applyNumberFormat="1" applyFont="1" applyBorder="1" applyAlignment="1">
      <alignment horizontal="right"/>
    </xf>
    <xf numFmtId="3" fontId="8" fillId="0" borderId="8" xfId="12" applyNumberFormat="1" applyFont="1" applyBorder="1"/>
    <xf numFmtId="3" fontId="1" fillId="0" borderId="8" xfId="12" applyNumberFormat="1" applyBorder="1"/>
    <xf numFmtId="0" fontId="2" fillId="0" borderId="10" xfId="3" applyBorder="1"/>
    <xf numFmtId="3" fontId="1" fillId="0" borderId="3" xfId="12" applyNumberFormat="1" applyBorder="1"/>
    <xf numFmtId="3" fontId="4" fillId="0" borderId="3" xfId="12" applyNumberFormat="1" applyFont="1" applyBorder="1"/>
    <xf numFmtId="3" fontId="4" fillId="7" borderId="3" xfId="12" applyNumberFormat="1" applyFont="1" applyFill="1" applyBorder="1"/>
    <xf numFmtId="3" fontId="8" fillId="0" borderId="3" xfId="12" applyNumberFormat="1" applyFont="1" applyBorder="1"/>
    <xf numFmtId="0" fontId="1" fillId="0" borderId="8" xfId="12" applyBorder="1"/>
    <xf numFmtId="0" fontId="3" fillId="0" borderId="8" xfId="3" applyFont="1" applyBorder="1" applyAlignment="1">
      <alignment horizontal="center"/>
    </xf>
    <xf numFmtId="3" fontId="3" fillId="0" borderId="8" xfId="3" applyNumberFormat="1" applyFont="1" applyBorder="1"/>
    <xf numFmtId="0" fontId="3" fillId="0" borderId="24" xfId="3" applyFont="1" applyBorder="1" applyAlignment="1">
      <alignment horizontal="center" vertical="center" wrapText="1"/>
    </xf>
    <xf numFmtId="3" fontId="2" fillId="0" borderId="3" xfId="3" applyNumberFormat="1" applyBorder="1"/>
    <xf numFmtId="3" fontId="3" fillId="0" borderId="3" xfId="3" applyNumberFormat="1" applyFont="1" applyBorder="1"/>
    <xf numFmtId="3" fontId="2" fillId="0" borderId="5" xfId="3" applyNumberFormat="1" applyBorder="1"/>
    <xf numFmtId="3" fontId="2" fillId="0" borderId="8" xfId="3" applyNumberFormat="1" applyBorder="1"/>
    <xf numFmtId="0" fontId="8" fillId="0" borderId="24" xfId="3" applyFont="1" applyBorder="1" applyAlignment="1">
      <alignment horizontal="center" vertical="center" wrapText="1"/>
    </xf>
    <xf numFmtId="3" fontId="3" fillId="7" borderId="4" xfId="12" applyNumberFormat="1" applyFont="1" applyFill="1" applyBorder="1"/>
    <xf numFmtId="3" fontId="1" fillId="7" borderId="4" xfId="12" applyNumberFormat="1" applyFill="1" applyBorder="1"/>
    <xf numFmtId="0" fontId="3" fillId="0" borderId="12" xfId="3" applyFont="1" applyBorder="1" applyAlignment="1">
      <alignment horizontal="center"/>
    </xf>
    <xf numFmtId="3" fontId="3" fillId="0" borderId="4" xfId="12" applyNumberFormat="1" applyFont="1" applyBorder="1" applyAlignment="1">
      <alignment horizontal="right"/>
    </xf>
    <xf numFmtId="3" fontId="3" fillId="0" borderId="8" xfId="3" applyNumberFormat="1" applyFont="1" applyBorder="1" applyAlignment="1">
      <alignment horizontal="center"/>
    </xf>
    <xf numFmtId="3" fontId="3" fillId="0" borderId="3" xfId="3" applyNumberFormat="1" applyFont="1" applyBorder="1" applyAlignment="1">
      <alignment horizontal="center"/>
    </xf>
    <xf numFmtId="0" fontId="8" fillId="0" borderId="3" xfId="3" applyFont="1" applyBorder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1" fillId="0" borderId="4" xfId="12" applyBorder="1"/>
    <xf numFmtId="3" fontId="4" fillId="0" borderId="4" xfId="12" applyNumberFormat="1" applyFont="1" applyBorder="1" applyAlignment="1">
      <alignment vertical="center"/>
    </xf>
    <xf numFmtId="3" fontId="3" fillId="0" borderId="5" xfId="3" applyNumberFormat="1" applyFont="1" applyBorder="1"/>
    <xf numFmtId="0" fontId="1" fillId="0" borderId="0" xfId="3" applyFont="1"/>
    <xf numFmtId="0" fontId="37" fillId="0" borderId="0" xfId="3" applyFont="1" applyAlignment="1">
      <alignment vertical="center"/>
    </xf>
    <xf numFmtId="0" fontId="27" fillId="0" borderId="54" xfId="0" applyFont="1" applyBorder="1" applyAlignment="1">
      <alignment horizontal="center"/>
    </xf>
    <xf numFmtId="0" fontId="27" fillId="0" borderId="0" xfId="0" applyFont="1" applyAlignment="1">
      <alignment horizontal="left"/>
    </xf>
    <xf numFmtId="3" fontId="8" fillId="0" borderId="4" xfId="3" applyNumberFormat="1" applyFont="1" applyBorder="1"/>
    <xf numFmtId="0" fontId="2" fillId="0" borderId="12" xfId="3" applyBorder="1"/>
    <xf numFmtId="0" fontId="2" fillId="0" borderId="11" xfId="3" applyBorder="1"/>
    <xf numFmtId="0" fontId="2" fillId="0" borderId="26" xfId="3" applyBorder="1"/>
    <xf numFmtId="0" fontId="3" fillId="0" borderId="11" xfId="3" applyFont="1" applyBorder="1"/>
    <xf numFmtId="49" fontId="25" fillId="0" borderId="4" xfId="3" applyNumberFormat="1" applyFont="1" applyBorder="1" applyAlignment="1">
      <alignment horizontal="center"/>
    </xf>
    <xf numFmtId="49" fontId="27" fillId="0" borderId="4" xfId="3" applyNumberFormat="1" applyFont="1" applyBorder="1"/>
    <xf numFmtId="0" fontId="27" fillId="0" borderId="41" xfId="0" applyFont="1" applyBorder="1" applyAlignment="1">
      <alignment horizontal="left"/>
    </xf>
    <xf numFmtId="0" fontId="27" fillId="0" borderId="42" xfId="0" applyFont="1" applyBorder="1" applyAlignment="1">
      <alignment horizontal="left"/>
    </xf>
    <xf numFmtId="0" fontId="27" fillId="0" borderId="43" xfId="0" applyFont="1" applyBorder="1" applyAlignment="1">
      <alignment horizontal="left"/>
    </xf>
    <xf numFmtId="0" fontId="3" fillId="0" borderId="8" xfId="3" applyFont="1" applyBorder="1" applyAlignment="1">
      <alignment horizontal="left"/>
    </xf>
    <xf numFmtId="0" fontId="4" fillId="0" borderId="8" xfId="3" applyFont="1" applyBorder="1" applyAlignment="1">
      <alignment horizontal="left"/>
    </xf>
    <xf numFmtId="0" fontId="1" fillId="0" borderId="8" xfId="3" applyFont="1" applyBorder="1"/>
    <xf numFmtId="0" fontId="4" fillId="0" borderId="8" xfId="3" applyFont="1" applyBorder="1"/>
    <xf numFmtId="0" fontId="0" fillId="0" borderId="25" xfId="0" applyBorder="1" applyAlignment="1">
      <alignment wrapText="1"/>
    </xf>
    <xf numFmtId="0" fontId="1" fillId="0" borderId="0" xfId="12"/>
    <xf numFmtId="0" fontId="1" fillId="0" borderId="3" xfId="12" applyBorder="1"/>
    <xf numFmtId="0" fontId="27" fillId="0" borderId="4" xfId="12" applyFont="1" applyBorder="1" applyAlignment="1">
      <alignment horizontal="center"/>
    </xf>
    <xf numFmtId="0" fontId="16" fillId="0" borderId="4" xfId="12" applyFont="1" applyBorder="1" applyAlignment="1">
      <alignment horizontal="center"/>
    </xf>
    <xf numFmtId="3" fontId="6" fillId="6" borderId="18" xfId="12" applyNumberFormat="1" applyFont="1" applyFill="1" applyBorder="1"/>
    <xf numFmtId="0" fontId="0" fillId="0" borderId="8" xfId="0" applyBorder="1"/>
    <xf numFmtId="0" fontId="1" fillId="0" borderId="8" xfId="3" applyFont="1" applyBorder="1" applyAlignment="1">
      <alignment wrapText="1"/>
    </xf>
    <xf numFmtId="0" fontId="2" fillId="0" borderId="25" xfId="3" applyBorder="1"/>
    <xf numFmtId="0" fontId="23" fillId="0" borderId="3" xfId="12" applyFont="1" applyBorder="1" applyAlignment="1">
      <alignment horizontal="right" vertical="top"/>
    </xf>
    <xf numFmtId="0" fontId="28" fillId="0" borderId="10" xfId="12" applyFont="1" applyBorder="1" applyAlignment="1">
      <alignment horizontal="center" vertical="top"/>
    </xf>
    <xf numFmtId="0" fontId="23" fillId="0" borderId="0" xfId="0" applyFont="1"/>
    <xf numFmtId="3" fontId="30" fillId="0" borderId="0" xfId="0" applyNumberFormat="1" applyFont="1"/>
    <xf numFmtId="3" fontId="39" fillId="0" borderId="0" xfId="0" applyNumberFormat="1" applyFont="1"/>
    <xf numFmtId="0" fontId="8" fillId="0" borderId="0" xfId="3" applyFont="1"/>
    <xf numFmtId="0" fontId="8" fillId="0" borderId="7" xfId="3" applyFont="1" applyBorder="1"/>
    <xf numFmtId="3" fontId="1" fillId="0" borderId="0" xfId="3" applyNumberFormat="1" applyFont="1"/>
    <xf numFmtId="0" fontId="8" fillId="0" borderId="8" xfId="12" applyFont="1" applyBorder="1" applyAlignment="1">
      <alignment horizontal="right"/>
    </xf>
    <xf numFmtId="0" fontId="6" fillId="0" borderId="0" xfId="12" applyFont="1" applyAlignment="1">
      <alignment horizontal="left"/>
    </xf>
    <xf numFmtId="3" fontId="1" fillId="0" borderId="0" xfId="12" applyNumberFormat="1"/>
    <xf numFmtId="4" fontId="1" fillId="0" borderId="0" xfId="12" applyNumberFormat="1"/>
    <xf numFmtId="0" fontId="1" fillId="0" borderId="0" xfId="12" applyAlignment="1">
      <alignment horizontal="left"/>
    </xf>
    <xf numFmtId="0" fontId="7" fillId="0" borderId="0" xfId="12" applyFont="1" applyAlignment="1">
      <alignment horizontal="left"/>
    </xf>
    <xf numFmtId="4" fontId="7" fillId="0" borderId="0" xfId="12" applyNumberFormat="1" applyFont="1" applyAlignment="1">
      <alignment horizontal="left"/>
    </xf>
    <xf numFmtId="3" fontId="3" fillId="0" borderId="3" xfId="12" applyNumberFormat="1" applyFont="1" applyBorder="1"/>
    <xf numFmtId="3" fontId="3" fillId="3" borderId="3" xfId="12" applyNumberFormat="1" applyFont="1" applyFill="1" applyBorder="1"/>
    <xf numFmtId="3" fontId="3" fillId="0" borderId="3" xfId="12" applyNumberFormat="1" applyFont="1" applyBorder="1" applyAlignment="1">
      <alignment horizontal="right"/>
    </xf>
    <xf numFmtId="3" fontId="3" fillId="7" borderId="3" xfId="12" applyNumberFormat="1" applyFont="1" applyFill="1" applyBorder="1"/>
    <xf numFmtId="0" fontId="3" fillId="0" borderId="4" xfId="12" applyFont="1" applyBorder="1" applyAlignment="1">
      <alignment horizontal="right"/>
    </xf>
    <xf numFmtId="3" fontId="4" fillId="0" borderId="3" xfId="12" applyNumberFormat="1" applyFont="1" applyBorder="1" applyAlignment="1">
      <alignment vertical="center"/>
    </xf>
    <xf numFmtId="3" fontId="3" fillId="0" borderId="30" xfId="12" applyNumberFormat="1" applyFont="1" applyBorder="1"/>
    <xf numFmtId="0" fontId="22" fillId="0" borderId="26" xfId="12" applyFont="1" applyBorder="1" applyAlignment="1">
      <alignment horizontal="center" vertical="center" wrapText="1"/>
    </xf>
    <xf numFmtId="164" fontId="2" fillId="0" borderId="0" xfId="3" applyNumberForma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22" fillId="0" borderId="2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4" fontId="0" fillId="0" borderId="0" xfId="0" applyNumberFormat="1"/>
    <xf numFmtId="165" fontId="0" fillId="0" borderId="0" xfId="0" applyNumberFormat="1"/>
    <xf numFmtId="4" fontId="1" fillId="0" borderId="0" xfId="0" applyNumberFormat="1" applyFont="1"/>
    <xf numFmtId="0" fontId="27" fillId="0" borderId="45" xfId="0" applyFont="1" applyBorder="1" applyAlignment="1">
      <alignment horizontal="left"/>
    </xf>
    <xf numFmtId="0" fontId="27" fillId="0" borderId="46" xfId="0" applyFont="1" applyBorder="1" applyAlignment="1">
      <alignment horizontal="left"/>
    </xf>
    <xf numFmtId="0" fontId="27" fillId="0" borderId="47" xfId="0" applyFont="1" applyBorder="1" applyAlignment="1">
      <alignment horizontal="left"/>
    </xf>
    <xf numFmtId="0" fontId="27" fillId="0" borderId="55" xfId="0" applyFont="1" applyBorder="1" applyAlignment="1">
      <alignment horizontal="left"/>
    </xf>
    <xf numFmtId="0" fontId="27" fillId="0" borderId="56" xfId="0" applyFont="1" applyBorder="1" applyAlignment="1">
      <alignment horizontal="left"/>
    </xf>
    <xf numFmtId="0" fontId="27" fillId="0" borderId="57" xfId="0" applyFont="1" applyBorder="1" applyAlignment="1">
      <alignment horizontal="left"/>
    </xf>
    <xf numFmtId="0" fontId="0" fillId="0" borderId="25" xfId="0" applyBorder="1"/>
    <xf numFmtId="0" fontId="1" fillId="0" borderId="8" xfId="0" applyFont="1" applyBorder="1" applyAlignment="1">
      <alignment vertical="center" wrapText="1"/>
    </xf>
    <xf numFmtId="0" fontId="1" fillId="0" borderId="8" xfId="0" applyFont="1" applyBorder="1"/>
    <xf numFmtId="0" fontId="40" fillId="0" borderId="10" xfId="3" applyFont="1" applyBorder="1" applyAlignment="1">
      <alignment horizontal="center" vertical="top"/>
    </xf>
    <xf numFmtId="0" fontId="23" fillId="0" borderId="3" xfId="3" applyFont="1" applyBorder="1" applyAlignment="1">
      <alignment horizontal="right" vertical="center"/>
    </xf>
    <xf numFmtId="0" fontId="40" fillId="0" borderId="10" xfId="3" applyFont="1" applyBorder="1" applyAlignment="1">
      <alignment horizontal="center" vertical="center"/>
    </xf>
    <xf numFmtId="3" fontId="23" fillId="0" borderId="4" xfId="3" applyNumberFormat="1" applyFont="1" applyBorder="1" applyAlignment="1">
      <alignment vertical="center"/>
    </xf>
    <xf numFmtId="4" fontId="23" fillId="0" borderId="19" xfId="3" applyNumberFormat="1" applyFont="1" applyBorder="1" applyAlignment="1">
      <alignment horizontal="right" vertical="center"/>
    </xf>
    <xf numFmtId="49" fontId="23" fillId="0" borderId="3" xfId="0" applyNumberFormat="1" applyFont="1" applyBorder="1" applyAlignment="1">
      <alignment horizontal="right" vertical="center"/>
    </xf>
    <xf numFmtId="49" fontId="28" fillId="0" borderId="10" xfId="0" applyNumberFormat="1" applyFont="1" applyBorder="1" applyAlignment="1">
      <alignment horizontal="center" vertical="center"/>
    </xf>
    <xf numFmtId="0" fontId="2" fillId="0" borderId="3" xfId="3" applyBorder="1" applyAlignment="1">
      <alignment horizontal="center" vertical="center"/>
    </xf>
    <xf numFmtId="0" fontId="16" fillId="0" borderId="10" xfId="3" applyFont="1" applyBorder="1" applyAlignment="1">
      <alignment horizontal="center" vertical="center"/>
    </xf>
    <xf numFmtId="0" fontId="28" fillId="0" borderId="10" xfId="3" applyFont="1" applyBorder="1" applyAlignment="1">
      <alignment horizontal="center" vertical="center"/>
    </xf>
    <xf numFmtId="0" fontId="28" fillId="0" borderId="16" xfId="3" applyFont="1" applyBorder="1" applyAlignment="1">
      <alignment horizontal="center" vertical="center"/>
    </xf>
    <xf numFmtId="49" fontId="16" fillId="0" borderId="10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right" vertical="center"/>
    </xf>
    <xf numFmtId="49" fontId="40" fillId="0" borderId="10" xfId="0" applyNumberFormat="1" applyFont="1" applyBorder="1" applyAlignment="1">
      <alignment horizontal="center" vertical="center"/>
    </xf>
    <xf numFmtId="0" fontId="3" fillId="0" borderId="3" xfId="3" applyFont="1" applyBorder="1" applyAlignment="1">
      <alignment vertical="center"/>
    </xf>
    <xf numFmtId="0" fontId="17" fillId="0" borderId="10" xfId="3" applyFont="1" applyBorder="1" applyAlignment="1">
      <alignment horizontal="center" vertical="center"/>
    </xf>
    <xf numFmtId="49" fontId="3" fillId="6" borderId="3" xfId="0" applyNumberFormat="1" applyFont="1" applyFill="1" applyBorder="1" applyAlignment="1">
      <alignment horizontal="center" vertical="center"/>
    </xf>
    <xf numFmtId="49" fontId="17" fillId="6" borderId="10" xfId="0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2" fillId="0" borderId="3" xfId="3" applyNumberFormat="1" applyBorder="1" applyAlignment="1">
      <alignment horizontal="center" vertical="center"/>
    </xf>
    <xf numFmtId="49" fontId="16" fillId="0" borderId="10" xfId="3" applyNumberFormat="1" applyFont="1" applyBorder="1" applyAlignment="1">
      <alignment horizontal="center" vertical="center"/>
    </xf>
    <xf numFmtId="49" fontId="3" fillId="6" borderId="3" xfId="3" applyNumberFormat="1" applyFont="1" applyFill="1" applyBorder="1" applyAlignment="1">
      <alignment horizontal="center" vertical="center"/>
    </xf>
    <xf numFmtId="49" fontId="17" fillId="6" borderId="10" xfId="3" applyNumberFormat="1" applyFont="1" applyFill="1" applyBorder="1" applyAlignment="1">
      <alignment horizontal="center" vertical="center"/>
    </xf>
    <xf numFmtId="0" fontId="3" fillId="6" borderId="3" xfId="3" applyFont="1" applyFill="1" applyBorder="1" applyAlignment="1">
      <alignment horizontal="center" vertical="center"/>
    </xf>
    <xf numFmtId="0" fontId="17" fillId="6" borderId="10" xfId="3" applyFont="1" applyFill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6" borderId="4" xfId="3" applyFont="1" applyFill="1" applyBorder="1" applyAlignment="1">
      <alignment vertical="center"/>
    </xf>
    <xf numFmtId="3" fontId="3" fillId="6" borderId="4" xfId="3" applyNumberFormat="1" applyFont="1" applyFill="1" applyBorder="1" applyAlignment="1">
      <alignment vertical="center"/>
    </xf>
    <xf numFmtId="4" fontId="8" fillId="6" borderId="19" xfId="3" applyNumberFormat="1" applyFont="1" applyFill="1" applyBorder="1" applyAlignment="1">
      <alignment horizontal="right" vertical="center"/>
    </xf>
    <xf numFmtId="3" fontId="4" fillId="0" borderId="4" xfId="3" applyNumberFormat="1" applyFont="1" applyBorder="1" applyAlignment="1">
      <alignment vertical="center"/>
    </xf>
    <xf numFmtId="4" fontId="4" fillId="0" borderId="19" xfId="3" applyNumberFormat="1" applyFont="1" applyBorder="1" applyAlignment="1">
      <alignment horizontal="right" vertical="center"/>
    </xf>
    <xf numFmtId="0" fontId="23" fillId="0" borderId="4" xfId="3" applyFont="1" applyBorder="1" applyAlignment="1">
      <alignment vertical="center"/>
    </xf>
    <xf numFmtId="0" fontId="23" fillId="0" borderId="4" xfId="3" applyFont="1" applyBorder="1" applyAlignment="1">
      <alignment vertical="center" wrapText="1"/>
    </xf>
    <xf numFmtId="3" fontId="4" fillId="0" borderId="4" xfId="3" applyNumberFormat="1" applyFont="1" applyBorder="1" applyAlignment="1" applyProtection="1">
      <alignment vertical="center"/>
      <protection locked="0"/>
    </xf>
    <xf numFmtId="3" fontId="23" fillId="0" borderId="4" xfId="3" applyNumberFormat="1" applyFont="1" applyBorder="1" applyAlignment="1" applyProtection="1">
      <alignment vertical="center"/>
      <protection locked="0"/>
    </xf>
    <xf numFmtId="0" fontId="23" fillId="0" borderId="4" xfId="12" applyFont="1" applyBorder="1" applyAlignment="1">
      <alignment vertical="center"/>
    </xf>
    <xf numFmtId="3" fontId="23" fillId="0" borderId="4" xfId="12" applyNumberFormat="1" applyFont="1" applyBorder="1" applyAlignment="1">
      <alignment vertical="center"/>
    </xf>
    <xf numFmtId="4" fontId="23" fillId="0" borderId="19" xfId="12" applyNumberFormat="1" applyFont="1" applyBorder="1" applyAlignment="1">
      <alignment horizontal="right" vertical="center"/>
    </xf>
    <xf numFmtId="3" fontId="2" fillId="0" borderId="4" xfId="3" applyNumberFormat="1" applyBorder="1" applyAlignment="1">
      <alignment vertical="center"/>
    </xf>
    <xf numFmtId="0" fontId="23" fillId="0" borderId="12" xfId="3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" fillId="0" borderId="4" xfId="3" applyBorder="1" applyAlignment="1">
      <alignment vertical="center" wrapText="1"/>
    </xf>
    <xf numFmtId="0" fontId="23" fillId="0" borderId="4" xfId="0" applyFont="1" applyBorder="1" applyAlignment="1">
      <alignment vertical="center" wrapText="1"/>
    </xf>
    <xf numFmtId="0" fontId="3" fillId="0" borderId="4" xfId="3" applyFont="1" applyBorder="1" applyAlignment="1">
      <alignment vertical="center"/>
    </xf>
    <xf numFmtId="3" fontId="3" fillId="0" borderId="4" xfId="3" applyNumberFormat="1" applyFont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4" xfId="3" applyFont="1" applyBorder="1" applyAlignment="1">
      <alignment vertical="center"/>
    </xf>
    <xf numFmtId="0" fontId="16" fillId="0" borderId="10" xfId="3" applyFont="1" applyBorder="1" applyAlignment="1" applyProtection="1">
      <alignment horizontal="center" vertical="center"/>
      <protection locked="0"/>
    </xf>
    <xf numFmtId="0" fontId="17" fillId="6" borderId="10" xfId="3" applyFont="1" applyFill="1" applyBorder="1" applyAlignment="1" applyProtection="1">
      <alignment horizontal="center" vertical="center"/>
      <protection locked="0"/>
    </xf>
    <xf numFmtId="0" fontId="28" fillId="0" borderId="10" xfId="3" applyFont="1" applyBorder="1" applyAlignment="1" applyProtection="1">
      <alignment horizontal="center" vertical="center"/>
      <protection locked="0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vertical="center"/>
    </xf>
    <xf numFmtId="3" fontId="8" fillId="6" borderId="4" xfId="0" applyNumberFormat="1" applyFont="1" applyFill="1" applyBorder="1" applyAlignment="1">
      <alignment vertical="center"/>
    </xf>
    <xf numFmtId="3" fontId="21" fillId="6" borderId="4" xfId="0" applyNumberFormat="1" applyFont="1" applyFill="1" applyBorder="1" applyAlignment="1">
      <alignment vertical="center"/>
    </xf>
    <xf numFmtId="0" fontId="8" fillId="6" borderId="4" xfId="0" applyFont="1" applyFill="1" applyBorder="1" applyAlignment="1">
      <alignment vertical="center" wrapText="1"/>
    </xf>
    <xf numFmtId="3" fontId="8" fillId="6" borderId="8" xfId="0" applyNumberFormat="1" applyFont="1" applyFill="1" applyBorder="1" applyAlignment="1">
      <alignment vertical="center"/>
    </xf>
    <xf numFmtId="3" fontId="21" fillId="6" borderId="8" xfId="0" applyNumberFormat="1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vertical="center" wrapText="1"/>
    </xf>
    <xf numFmtId="3" fontId="8" fillId="0" borderId="8" xfId="0" applyNumberFormat="1" applyFont="1" applyBorder="1" applyAlignment="1">
      <alignment vertical="center"/>
    </xf>
    <xf numFmtId="3" fontId="21" fillId="0" borderId="8" xfId="0" applyNumberFormat="1" applyFont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41" fillId="0" borderId="4" xfId="0" applyFont="1" applyBorder="1" applyAlignment="1">
      <alignment vertical="center"/>
    </xf>
    <xf numFmtId="3" fontId="1" fillId="0" borderId="8" xfId="0" applyNumberFormat="1" applyFont="1" applyBorder="1" applyAlignment="1">
      <alignment vertical="center"/>
    </xf>
    <xf numFmtId="3" fontId="30" fillId="0" borderId="8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42" fillId="0" borderId="4" xfId="0" applyFont="1" applyBorder="1" applyAlignment="1">
      <alignment vertical="center" wrapText="1"/>
    </xf>
    <xf numFmtId="0" fontId="42" fillId="0" borderId="4" xfId="0" applyFont="1" applyBorder="1" applyAlignment="1">
      <alignment vertical="center"/>
    </xf>
    <xf numFmtId="0" fontId="41" fillId="0" borderId="4" xfId="0" applyFont="1" applyBorder="1" applyAlignment="1">
      <alignment vertical="center" wrapText="1"/>
    </xf>
    <xf numFmtId="0" fontId="23" fillId="0" borderId="3" xfId="0" applyFont="1" applyBorder="1" applyAlignment="1">
      <alignment horizontal="right" vertical="center"/>
    </xf>
    <xf numFmtId="0" fontId="43" fillId="0" borderId="4" xfId="0" applyFont="1" applyBorder="1" applyAlignment="1">
      <alignment vertical="center"/>
    </xf>
    <xf numFmtId="3" fontId="23" fillId="0" borderId="8" xfId="0" applyNumberFormat="1" applyFont="1" applyBorder="1" applyAlignment="1">
      <alignment vertical="center"/>
    </xf>
    <xf numFmtId="3" fontId="38" fillId="0" borderId="8" xfId="0" applyNumberFormat="1" applyFont="1" applyBorder="1" applyAlignment="1">
      <alignment vertical="center"/>
    </xf>
    <xf numFmtId="0" fontId="1" fillId="0" borderId="24" xfId="0" applyFont="1" applyBorder="1" applyAlignment="1">
      <alignment horizontal="right" vertical="center"/>
    </xf>
    <xf numFmtId="0" fontId="41" fillId="0" borderId="12" xfId="0" applyFont="1" applyBorder="1" applyAlignment="1">
      <alignment vertical="center"/>
    </xf>
    <xf numFmtId="3" fontId="1" fillId="0" borderId="26" xfId="0" applyNumberFormat="1" applyFont="1" applyBorder="1" applyAlignment="1">
      <alignment vertical="center"/>
    </xf>
    <xf numFmtId="3" fontId="30" fillId="0" borderId="26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8" fillId="6" borderId="4" xfId="1" applyNumberFormat="1" applyFont="1" applyFill="1" applyBorder="1" applyAlignment="1">
      <alignment vertical="center" wrapText="1"/>
    </xf>
    <xf numFmtId="0" fontId="15" fillId="0" borderId="3" xfId="0" applyFont="1" applyBorder="1" applyAlignment="1">
      <alignment horizontal="right" vertical="center"/>
    </xf>
    <xf numFmtId="0" fontId="44" fillId="0" borderId="4" xfId="0" applyFont="1" applyBorder="1" applyAlignment="1">
      <alignment vertical="center"/>
    </xf>
    <xf numFmtId="3" fontId="15" fillId="0" borderId="8" xfId="0" applyNumberFormat="1" applyFont="1" applyBorder="1" applyAlignment="1">
      <alignment vertical="center"/>
    </xf>
    <xf numFmtId="3" fontId="31" fillId="0" borderId="8" xfId="0" applyNumberFormat="1" applyFont="1" applyBorder="1" applyAlignment="1">
      <alignment vertical="center"/>
    </xf>
    <xf numFmtId="0" fontId="43" fillId="0" borderId="4" xfId="0" applyFont="1" applyBorder="1" applyAlignment="1">
      <alignment vertical="center" wrapText="1"/>
    </xf>
    <xf numFmtId="0" fontId="44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3" fontId="37" fillId="0" borderId="8" xfId="0" applyNumberFormat="1" applyFont="1" applyBorder="1" applyAlignment="1">
      <alignment vertical="center"/>
    </xf>
    <xf numFmtId="3" fontId="39" fillId="0" borderId="8" xfId="0" applyNumberFormat="1" applyFont="1" applyBorder="1" applyAlignment="1">
      <alignment vertical="center"/>
    </xf>
    <xf numFmtId="0" fontId="15" fillId="6" borderId="3" xfId="0" applyFont="1" applyFill="1" applyBorder="1" applyAlignment="1">
      <alignment horizontal="center" vertical="center"/>
    </xf>
    <xf numFmtId="0" fontId="43" fillId="0" borderId="4" xfId="11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3" fontId="8" fillId="6" borderId="28" xfId="0" applyNumberFormat="1" applyFont="1" applyFill="1" applyBorder="1" applyAlignment="1">
      <alignment vertical="center"/>
    </xf>
    <xf numFmtId="3" fontId="21" fillId="6" borderId="28" xfId="0" applyNumberFormat="1" applyFont="1" applyFill="1" applyBorder="1" applyAlignment="1">
      <alignment vertical="center"/>
    </xf>
    <xf numFmtId="0" fontId="3" fillId="6" borderId="12" xfId="3" applyFont="1" applyFill="1" applyBorder="1" applyAlignment="1">
      <alignment horizontal="center" vertical="center" wrapText="1"/>
    </xf>
    <xf numFmtId="0" fontId="17" fillId="0" borderId="19" xfId="12" applyFont="1" applyBorder="1" applyAlignment="1">
      <alignment horizontal="center"/>
    </xf>
    <xf numFmtId="3" fontId="3" fillId="6" borderId="8" xfId="3" applyNumberFormat="1" applyFont="1" applyFill="1" applyBorder="1" applyAlignment="1">
      <alignment horizontal="right"/>
    </xf>
    <xf numFmtId="3" fontId="3" fillId="0" borderId="8" xfId="3" applyNumberFormat="1" applyFont="1" applyBorder="1" applyAlignment="1">
      <alignment horizontal="right"/>
    </xf>
    <xf numFmtId="3" fontId="4" fillId="0" borderId="8" xfId="3" applyNumberFormat="1" applyFont="1" applyBorder="1" applyAlignment="1">
      <alignment horizontal="right"/>
    </xf>
    <xf numFmtId="3" fontId="3" fillId="6" borderId="8" xfId="3" applyNumberFormat="1" applyFont="1" applyFill="1" applyBorder="1"/>
    <xf numFmtId="3" fontId="4" fillId="0" borderId="8" xfId="3" applyNumberFormat="1" applyFont="1" applyBorder="1"/>
    <xf numFmtId="3" fontId="23" fillId="0" borderId="8" xfId="3" applyNumberFormat="1" applyFont="1" applyBorder="1"/>
    <xf numFmtId="3" fontId="3" fillId="6" borderId="8" xfId="3" applyNumberFormat="1" applyFont="1" applyFill="1" applyBorder="1" applyAlignment="1">
      <alignment vertical="center"/>
    </xf>
    <xf numFmtId="3" fontId="4" fillId="0" borderId="8" xfId="3" applyNumberFormat="1" applyFont="1" applyBorder="1" applyAlignment="1">
      <alignment vertical="center"/>
    </xf>
    <xf numFmtId="3" fontId="23" fillId="0" borderId="8" xfId="3" applyNumberFormat="1" applyFont="1" applyBorder="1" applyAlignment="1">
      <alignment vertical="center"/>
    </xf>
    <xf numFmtId="3" fontId="4" fillId="0" borderId="8" xfId="3" applyNumberFormat="1" applyFont="1" applyBorder="1" applyAlignment="1" applyProtection="1">
      <alignment vertical="center"/>
      <protection locked="0"/>
    </xf>
    <xf numFmtId="3" fontId="23" fillId="0" borderId="8" xfId="3" applyNumberFormat="1" applyFont="1" applyBorder="1" applyAlignment="1" applyProtection="1">
      <alignment vertical="center"/>
      <protection locked="0"/>
    </xf>
    <xf numFmtId="3" fontId="23" fillId="0" borderId="8" xfId="12" applyNumberFormat="1" applyFont="1" applyBorder="1" applyAlignment="1">
      <alignment vertical="center"/>
    </xf>
    <xf numFmtId="3" fontId="2" fillId="0" borderId="8" xfId="3" applyNumberFormat="1" applyBorder="1" applyAlignment="1">
      <alignment vertical="center"/>
    </xf>
    <xf numFmtId="3" fontId="3" fillId="0" borderId="8" xfId="3" applyNumberFormat="1" applyFont="1" applyBorder="1" applyAlignment="1">
      <alignment vertical="center"/>
    </xf>
    <xf numFmtId="0" fontId="3" fillId="6" borderId="24" xfId="3" applyFont="1" applyFill="1" applyBorder="1" applyAlignment="1">
      <alignment horizontal="center" vertical="center" wrapText="1"/>
    </xf>
    <xf numFmtId="0" fontId="12" fillId="6" borderId="27" xfId="3" applyFont="1" applyFill="1" applyBorder="1" applyAlignment="1">
      <alignment horizontal="center" vertical="center" wrapText="1"/>
    </xf>
    <xf numFmtId="0" fontId="17" fillId="0" borderId="18" xfId="3" applyFont="1" applyBorder="1" applyAlignment="1">
      <alignment horizontal="center"/>
    </xf>
    <xf numFmtId="3" fontId="3" fillId="6" borderId="3" xfId="3" applyNumberFormat="1" applyFont="1" applyFill="1" applyBorder="1" applyAlignment="1">
      <alignment horizontal="right"/>
    </xf>
    <xf numFmtId="3" fontId="12" fillId="6" borderId="18" xfId="3" applyNumberFormat="1" applyFont="1" applyFill="1" applyBorder="1" applyAlignment="1">
      <alignment horizontal="right"/>
    </xf>
    <xf numFmtId="3" fontId="3" fillId="0" borderId="3" xfId="3" applyNumberFormat="1" applyFont="1" applyBorder="1" applyAlignment="1">
      <alignment horizontal="right"/>
    </xf>
    <xf numFmtId="3" fontId="4" fillId="0" borderId="3" xfId="3" applyNumberFormat="1" applyFont="1" applyBorder="1" applyAlignment="1">
      <alignment horizontal="right"/>
    </xf>
    <xf numFmtId="3" fontId="6" fillId="6" borderId="18" xfId="3" applyNumberFormat="1" applyFont="1" applyFill="1" applyBorder="1" applyAlignment="1">
      <alignment horizontal="right"/>
    </xf>
    <xf numFmtId="3" fontId="3" fillId="6" borderId="3" xfId="3" applyNumberFormat="1" applyFont="1" applyFill="1" applyBorder="1"/>
    <xf numFmtId="3" fontId="12" fillId="6" borderId="18" xfId="3" applyNumberFormat="1" applyFont="1" applyFill="1" applyBorder="1"/>
    <xf numFmtId="3" fontId="4" fillId="0" borderId="3" xfId="3" applyNumberFormat="1" applyFont="1" applyBorder="1"/>
    <xf numFmtId="3" fontId="6" fillId="6" borderId="18" xfId="3" applyNumberFormat="1" applyFont="1" applyFill="1" applyBorder="1"/>
    <xf numFmtId="3" fontId="23" fillId="0" borderId="3" xfId="3" applyNumberFormat="1" applyFont="1" applyBorder="1"/>
    <xf numFmtId="3" fontId="29" fillId="6" borderId="18" xfId="3" applyNumberFormat="1" applyFont="1" applyFill="1" applyBorder="1"/>
    <xf numFmtId="3" fontId="3" fillId="6" borderId="3" xfId="3" applyNumberFormat="1" applyFont="1" applyFill="1" applyBorder="1" applyAlignment="1">
      <alignment vertical="center"/>
    </xf>
    <xf numFmtId="3" fontId="12" fillId="6" borderId="18" xfId="3" applyNumberFormat="1" applyFont="1" applyFill="1" applyBorder="1" applyAlignment="1">
      <alignment vertical="center"/>
    </xf>
    <xf numFmtId="3" fontId="4" fillId="0" borderId="3" xfId="3" applyNumberFormat="1" applyFont="1" applyBorder="1" applyAlignment="1">
      <alignment vertical="center"/>
    </xf>
    <xf numFmtId="3" fontId="6" fillId="6" borderId="18" xfId="3" applyNumberFormat="1" applyFont="1" applyFill="1" applyBorder="1" applyAlignment="1">
      <alignment vertical="center"/>
    </xf>
    <xf numFmtId="3" fontId="23" fillId="0" borderId="3" xfId="3" applyNumberFormat="1" applyFont="1" applyBorder="1" applyAlignment="1">
      <alignment vertical="center"/>
    </xf>
    <xf numFmtId="3" fontId="38" fillId="6" borderId="18" xfId="3" applyNumberFormat="1" applyFont="1" applyFill="1" applyBorder="1" applyAlignment="1">
      <alignment vertical="center"/>
    </xf>
    <xf numFmtId="3" fontId="29" fillId="6" borderId="18" xfId="3" applyNumberFormat="1" applyFont="1" applyFill="1" applyBorder="1" applyAlignment="1">
      <alignment vertical="center"/>
    </xf>
    <xf numFmtId="3" fontId="4" fillId="0" borderId="3" xfId="3" applyNumberFormat="1" applyFont="1" applyBorder="1" applyAlignment="1" applyProtection="1">
      <alignment vertical="center"/>
      <protection locked="0"/>
    </xf>
    <xf numFmtId="3" fontId="6" fillId="6" borderId="18" xfId="3" applyNumberFormat="1" applyFont="1" applyFill="1" applyBorder="1" applyAlignment="1" applyProtection="1">
      <alignment vertical="center"/>
      <protection locked="0"/>
    </xf>
    <xf numFmtId="3" fontId="23" fillId="0" borderId="3" xfId="3" applyNumberFormat="1" applyFont="1" applyBorder="1" applyAlignment="1" applyProtection="1">
      <alignment vertical="center"/>
      <protection locked="0"/>
    </xf>
    <xf numFmtId="3" fontId="29" fillId="6" borderId="18" xfId="3" applyNumberFormat="1" applyFont="1" applyFill="1" applyBorder="1" applyAlignment="1" applyProtection="1">
      <alignment vertical="center"/>
      <protection locked="0"/>
    </xf>
    <xf numFmtId="3" fontId="23" fillId="0" borderId="3" xfId="12" applyNumberFormat="1" applyFont="1" applyBorder="1" applyAlignment="1">
      <alignment vertical="center"/>
    </xf>
    <xf numFmtId="3" fontId="29" fillId="6" borderId="18" xfId="12" applyNumberFormat="1" applyFont="1" applyFill="1" applyBorder="1" applyAlignment="1">
      <alignment vertical="center"/>
    </xf>
    <xf numFmtId="3" fontId="2" fillId="0" borderId="3" xfId="3" applyNumberFormat="1" applyBorder="1" applyAlignment="1">
      <alignment vertical="center"/>
    </xf>
    <xf numFmtId="3" fontId="3" fillId="0" borderId="3" xfId="3" applyNumberFormat="1" applyFont="1" applyBorder="1" applyAlignment="1">
      <alignment vertical="center"/>
    </xf>
    <xf numFmtId="0" fontId="6" fillId="6" borderId="29" xfId="3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8" xfId="12" applyFont="1" applyBorder="1" applyAlignment="1">
      <alignment horizontal="center" vertical="center" wrapText="1"/>
    </xf>
    <xf numFmtId="3" fontId="8" fillId="0" borderId="8" xfId="3" applyNumberFormat="1" applyFont="1" applyBorder="1"/>
    <xf numFmtId="0" fontId="17" fillId="6" borderId="18" xfId="3" applyFont="1" applyFill="1" applyBorder="1" applyAlignment="1">
      <alignment horizontal="center"/>
    </xf>
    <xf numFmtId="0" fontId="12" fillId="6" borderId="18" xfId="3" applyFont="1" applyFill="1" applyBorder="1" applyAlignment="1">
      <alignment horizontal="center"/>
    </xf>
    <xf numFmtId="3" fontId="12" fillId="6" borderId="18" xfId="4" applyNumberFormat="1" applyFont="1" applyFill="1" applyBorder="1"/>
    <xf numFmtId="3" fontId="6" fillId="6" borderId="18" xfId="4" applyNumberFormat="1" applyFont="1" applyFill="1" applyBorder="1"/>
    <xf numFmtId="3" fontId="6" fillId="6" borderId="29" xfId="3" applyNumberFormat="1" applyFont="1" applyFill="1" applyBorder="1"/>
    <xf numFmtId="0" fontId="12" fillId="6" borderId="19" xfId="3" applyFont="1" applyFill="1" applyBorder="1" applyAlignment="1">
      <alignment horizontal="center"/>
    </xf>
    <xf numFmtId="3" fontId="12" fillId="6" borderId="19" xfId="3" applyNumberFormat="1" applyFont="1" applyFill="1" applyBorder="1" applyAlignment="1">
      <alignment horizontal="right"/>
    </xf>
    <xf numFmtId="3" fontId="6" fillId="6" borderId="19" xfId="3" applyNumberFormat="1" applyFont="1" applyFill="1" applyBorder="1"/>
    <xf numFmtId="3" fontId="12" fillId="6" borderId="19" xfId="3" applyNumberFormat="1" applyFont="1" applyFill="1" applyBorder="1"/>
    <xf numFmtId="3" fontId="12" fillId="6" borderId="19" xfId="4" applyNumberFormat="1" applyFont="1" applyFill="1" applyBorder="1"/>
    <xf numFmtId="0" fontId="6" fillId="6" borderId="18" xfId="3" applyFont="1" applyFill="1" applyBorder="1"/>
    <xf numFmtId="3" fontId="8" fillId="0" borderId="3" xfId="3" applyNumberFormat="1" applyFont="1" applyBorder="1"/>
    <xf numFmtId="3" fontId="21" fillId="6" borderId="18" xfId="3" applyNumberFormat="1" applyFont="1" applyFill="1" applyBorder="1"/>
    <xf numFmtId="3" fontId="12" fillId="6" borderId="18" xfId="3" applyNumberFormat="1" applyFont="1" applyFill="1" applyBorder="1" applyAlignment="1">
      <alignment horizontal="center"/>
    </xf>
    <xf numFmtId="0" fontId="12" fillId="6" borderId="18" xfId="3" applyFont="1" applyFill="1" applyBorder="1" applyAlignment="1">
      <alignment horizontal="center" vertical="center" wrapText="1"/>
    </xf>
    <xf numFmtId="3" fontId="12" fillId="6" borderId="18" xfId="12" applyNumberFormat="1" applyFont="1" applyFill="1" applyBorder="1"/>
    <xf numFmtId="0" fontId="12" fillId="6" borderId="18" xfId="3" applyFont="1" applyFill="1" applyBorder="1" applyAlignment="1">
      <alignment horizontal="right"/>
    </xf>
    <xf numFmtId="3" fontId="6" fillId="6" borderId="18" xfId="4" applyNumberFormat="1" applyFont="1" applyFill="1" applyBorder="1" applyAlignment="1">
      <alignment vertical="center"/>
    </xf>
    <xf numFmtId="3" fontId="12" fillId="6" borderId="29" xfId="3" applyNumberFormat="1" applyFont="1" applyFill="1" applyBorder="1"/>
    <xf numFmtId="0" fontId="43" fillId="0" borderId="4" xfId="0" applyFont="1" applyBorder="1" applyAlignment="1">
      <alignment wrapText="1"/>
    </xf>
    <xf numFmtId="0" fontId="9" fillId="0" borderId="0" xfId="0" applyFont="1" applyAlignment="1">
      <alignment horizontal="center" vertical="top"/>
    </xf>
    <xf numFmtId="0" fontId="3" fillId="2" borderId="17" xfId="12" applyFont="1" applyFill="1" applyBorder="1" applyAlignment="1">
      <alignment horizontal="center" vertical="center" wrapText="1"/>
    </xf>
    <xf numFmtId="4" fontId="21" fillId="6" borderId="18" xfId="0" applyNumberFormat="1" applyFont="1" applyFill="1" applyBorder="1" applyAlignment="1">
      <alignment vertical="center"/>
    </xf>
    <xf numFmtId="4" fontId="8" fillId="6" borderId="18" xfId="0" applyNumberFormat="1" applyFont="1" applyFill="1" applyBorder="1" applyAlignment="1">
      <alignment vertical="center"/>
    </xf>
    <xf numFmtId="4" fontId="8" fillId="0" borderId="18" xfId="0" applyNumberFormat="1" applyFont="1" applyBorder="1" applyAlignment="1">
      <alignment vertical="center"/>
    </xf>
    <xf numFmtId="4" fontId="1" fillId="0" borderId="18" xfId="0" applyNumberFormat="1" applyFont="1" applyBorder="1" applyAlignment="1">
      <alignment vertical="center"/>
    </xf>
    <xf numFmtId="4" fontId="23" fillId="0" borderId="18" xfId="0" applyNumberFormat="1" applyFont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4" fontId="1" fillId="0" borderId="29" xfId="0" applyNumberFormat="1" applyFont="1" applyBorder="1" applyAlignment="1">
      <alignment vertical="center"/>
    </xf>
    <xf numFmtId="4" fontId="21" fillId="6" borderId="60" xfId="0" applyNumberFormat="1" applyFont="1" applyFill="1" applyBorder="1" applyAlignment="1">
      <alignment vertical="center"/>
    </xf>
    <xf numFmtId="4" fontId="2" fillId="0" borderId="61" xfId="3" applyNumberFormat="1" applyBorder="1"/>
    <xf numFmtId="3" fontId="45" fillId="0" borderId="0" xfId="0" applyNumberFormat="1" applyFont="1"/>
    <xf numFmtId="4" fontId="45" fillId="0" borderId="0" xfId="5" applyNumberFormat="1" applyFont="1"/>
    <xf numFmtId="3" fontId="1" fillId="0" borderId="63" xfId="0" applyNumberFormat="1" applyFont="1" applyBorder="1" applyAlignment="1">
      <alignment vertical="center"/>
    </xf>
    <xf numFmtId="0" fontId="17" fillId="0" borderId="66" xfId="12" applyFont="1" applyBorder="1" applyAlignment="1">
      <alignment horizontal="center"/>
    </xf>
    <xf numFmtId="4" fontId="26" fillId="0" borderId="66" xfId="3" applyNumberFormat="1" applyFont="1" applyBorder="1" applyAlignment="1">
      <alignment horizontal="center"/>
    </xf>
    <xf numFmtId="4" fontId="26" fillId="0" borderId="66" xfId="3" applyNumberFormat="1" applyFont="1" applyBorder="1"/>
    <xf numFmtId="4" fontId="20" fillId="0" borderId="66" xfId="3" applyNumberFormat="1" applyFont="1" applyBorder="1"/>
    <xf numFmtId="4" fontId="20" fillId="0" borderId="67" xfId="3" applyNumberFormat="1" applyFont="1" applyBorder="1"/>
    <xf numFmtId="4" fontId="20" fillId="0" borderId="66" xfId="12" applyNumberFormat="1" applyFont="1" applyBorder="1"/>
    <xf numFmtId="4" fontId="26" fillId="0" borderId="67" xfId="3" applyNumberFormat="1" applyFont="1" applyBorder="1"/>
    <xf numFmtId="0" fontId="1" fillId="0" borderId="0" xfId="3" applyFont="1" applyAlignment="1">
      <alignment horizontal="right"/>
    </xf>
    <xf numFmtId="0" fontId="1" fillId="0" borderId="8" xfId="0" applyFont="1" applyBorder="1" applyAlignment="1">
      <alignment wrapText="1"/>
    </xf>
    <xf numFmtId="0" fontId="4" fillId="0" borderId="4" xfId="0" applyFont="1" applyBorder="1" applyAlignment="1">
      <alignment vertical="center" wrapText="1"/>
    </xf>
    <xf numFmtId="2" fontId="8" fillId="4" borderId="4" xfId="0" applyNumberFormat="1" applyFont="1" applyFill="1" applyBorder="1" applyAlignment="1">
      <alignment horizontal="right" vertical="center"/>
    </xf>
    <xf numFmtId="2" fontId="8" fillId="4" borderId="22" xfId="0" applyNumberFormat="1" applyFont="1" applyFill="1" applyBorder="1" applyAlignment="1">
      <alignment horizontal="right" vertical="center"/>
    </xf>
    <xf numFmtId="3" fontId="1" fillId="0" borderId="0" xfId="3" applyNumberFormat="1" applyFont="1" applyAlignment="1">
      <alignment horizontal="right"/>
    </xf>
    <xf numFmtId="4" fontId="20" fillId="0" borderId="18" xfId="0" applyNumberFormat="1" applyFont="1" applyBorder="1" applyAlignment="1">
      <alignment vertical="center"/>
    </xf>
    <xf numFmtId="3" fontId="1" fillId="0" borderId="0" xfId="0" applyNumberFormat="1" applyFont="1"/>
    <xf numFmtId="0" fontId="3" fillId="0" borderId="3" xfId="12" applyFont="1" applyBorder="1" applyAlignment="1">
      <alignment horizontal="right"/>
    </xf>
    <xf numFmtId="49" fontId="1" fillId="0" borderId="3" xfId="0" applyNumberFormat="1" applyFont="1" applyBorder="1" applyAlignment="1">
      <alignment horizontal="center" vertical="center"/>
    </xf>
    <xf numFmtId="3" fontId="1" fillId="0" borderId="4" xfId="3" applyNumberFormat="1" applyFont="1" applyBorder="1"/>
    <xf numFmtId="0" fontId="1" fillId="0" borderId="25" xfId="0" applyFont="1" applyBorder="1" applyAlignment="1">
      <alignment wrapText="1"/>
    </xf>
    <xf numFmtId="0" fontId="1" fillId="0" borderId="0" xfId="3" applyFont="1" applyAlignment="1">
      <alignment vertical="center"/>
    </xf>
    <xf numFmtId="3" fontId="26" fillId="4" borderId="4" xfId="0" applyNumberFormat="1" applyFont="1" applyFill="1" applyBorder="1" applyAlignment="1">
      <alignment horizontal="right" vertical="center"/>
    </xf>
    <xf numFmtId="3" fontId="8" fillId="4" borderId="4" xfId="0" applyNumberFormat="1" applyFont="1" applyFill="1" applyBorder="1" applyAlignment="1">
      <alignment horizontal="right" vertical="center"/>
    </xf>
    <xf numFmtId="0" fontId="1" fillId="0" borderId="0" xfId="14"/>
    <xf numFmtId="0" fontId="3" fillId="2" borderId="4" xfId="14" applyFont="1" applyFill="1" applyBorder="1" applyAlignment="1">
      <alignment horizontal="center" vertical="center" wrapText="1"/>
    </xf>
    <xf numFmtId="0" fontId="3" fillId="2" borderId="4" xfId="14" applyFont="1" applyFill="1" applyBorder="1" applyAlignment="1">
      <alignment horizontal="center" vertical="center"/>
    </xf>
    <xf numFmtId="0" fontId="3" fillId="0" borderId="0" xfId="14" applyFont="1"/>
    <xf numFmtId="0" fontId="1" fillId="0" borderId="4" xfId="14" applyBorder="1" applyAlignment="1">
      <alignment horizontal="center"/>
    </xf>
    <xf numFmtId="0" fontId="1" fillId="0" borderId="4" xfId="14" applyBorder="1"/>
    <xf numFmtId="3" fontId="1" fillId="0" borderId="4" xfId="14" applyNumberFormat="1" applyBorder="1"/>
    <xf numFmtId="3" fontId="3" fillId="0" borderId="4" xfId="14" applyNumberFormat="1" applyFont="1" applyBorder="1"/>
    <xf numFmtId="3" fontId="1" fillId="0" borderId="0" xfId="14" applyNumberFormat="1"/>
    <xf numFmtId="0" fontId="3" fillId="2" borderId="4" xfId="14" applyFont="1" applyFill="1" applyBorder="1" applyAlignment="1">
      <alignment horizontal="center"/>
    </xf>
    <xf numFmtId="0" fontId="3" fillId="2" borderId="4" xfId="14" applyFont="1" applyFill="1" applyBorder="1"/>
    <xf numFmtId="3" fontId="3" fillId="2" borderId="4" xfId="14" applyNumberFormat="1" applyFont="1" applyFill="1" applyBorder="1"/>
    <xf numFmtId="0" fontId="1" fillId="0" borderId="0" xfId="14" applyAlignment="1">
      <alignment horizontal="center"/>
    </xf>
    <xf numFmtId="9" fontId="2" fillId="0" borderId="0" xfId="3" applyNumberFormat="1"/>
    <xf numFmtId="4" fontId="3" fillId="0" borderId="0" xfId="3" applyNumberFormat="1" applyFont="1"/>
    <xf numFmtId="0" fontId="3" fillId="8" borderId="2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0" fontId="2" fillId="0" borderId="4" xfId="3" applyBorder="1" applyAlignment="1">
      <alignment horizontal="center"/>
    </xf>
    <xf numFmtId="49" fontId="27" fillId="0" borderId="4" xfId="3" applyNumberFormat="1" applyFont="1" applyBorder="1" applyAlignment="1">
      <alignment horizontal="center" vertical="center"/>
    </xf>
    <xf numFmtId="49" fontId="27" fillId="0" borderId="4" xfId="3" applyNumberFormat="1" applyFont="1" applyBorder="1" applyAlignment="1">
      <alignment horizontal="center" vertical="center" wrapText="1"/>
    </xf>
    <xf numFmtId="49" fontId="27" fillId="0" borderId="8" xfId="3" applyNumberFormat="1" applyFont="1" applyBorder="1" applyAlignment="1">
      <alignment horizontal="center" vertical="center"/>
    </xf>
    <xf numFmtId="49" fontId="27" fillId="0" borderId="12" xfId="3" applyNumberFormat="1" applyFont="1" applyBorder="1" applyAlignment="1">
      <alignment horizontal="center" wrapText="1"/>
    </xf>
    <xf numFmtId="49" fontId="27" fillId="0" borderId="4" xfId="3" applyNumberFormat="1" applyFont="1" applyBorder="1" applyAlignment="1">
      <alignment horizontal="center"/>
    </xf>
    <xf numFmtId="49" fontId="27" fillId="0" borderId="12" xfId="3" applyNumberFormat="1" applyFont="1" applyBorder="1" applyAlignment="1">
      <alignment horizontal="center"/>
    </xf>
    <xf numFmtId="43" fontId="8" fillId="0" borderId="0" xfId="15" applyFont="1"/>
    <xf numFmtId="4" fontId="50" fillId="0" borderId="0" xfId="0" applyNumberFormat="1" applyFont="1"/>
    <xf numFmtId="4" fontId="51" fillId="0" borderId="0" xfId="0" applyNumberFormat="1" applyFont="1"/>
    <xf numFmtId="4" fontId="52" fillId="0" borderId="0" xfId="0" applyNumberFormat="1" applyFont="1"/>
    <xf numFmtId="4" fontId="51" fillId="0" borderId="0" xfId="13" applyNumberFormat="1" applyFont="1" applyFill="1"/>
    <xf numFmtId="4" fontId="53" fillId="0" borderId="0" xfId="2" applyNumberFormat="1" applyFont="1" applyFill="1"/>
    <xf numFmtId="4" fontId="54" fillId="0" borderId="0" xfId="0" applyNumberFormat="1" applyFont="1"/>
    <xf numFmtId="4" fontId="55" fillId="0" borderId="0" xfId="2" applyNumberFormat="1" applyFont="1" applyFill="1"/>
    <xf numFmtId="4" fontId="56" fillId="0" borderId="0" xfId="2" applyNumberFormat="1" applyFont="1" applyFill="1"/>
    <xf numFmtId="0" fontId="0" fillId="0" borderId="8" xfId="0" applyBorder="1" applyAlignment="1">
      <alignment vertical="center" wrapText="1"/>
    </xf>
    <xf numFmtId="3" fontId="6" fillId="0" borderId="0" xfId="0" applyNumberFormat="1" applyFont="1"/>
    <xf numFmtId="3" fontId="37" fillId="0" borderId="0" xfId="0" applyNumberFormat="1" applyFont="1"/>
    <xf numFmtId="3" fontId="23" fillId="0" borderId="0" xfId="0" applyNumberFormat="1" applyFont="1"/>
    <xf numFmtId="4" fontId="23" fillId="0" borderId="0" xfId="0" applyNumberFormat="1" applyFont="1"/>
    <xf numFmtId="4" fontId="20" fillId="0" borderId="0" xfId="0" applyNumberFormat="1" applyFont="1"/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3" fillId="7" borderId="0" xfId="0" applyFont="1" applyFill="1" applyAlignment="1">
      <alignment horizontal="center" wrapText="1"/>
    </xf>
    <xf numFmtId="0" fontId="0" fillId="7" borderId="0" xfId="0" applyFill="1"/>
    <xf numFmtId="0" fontId="9" fillId="0" borderId="0" xfId="0" applyFont="1" applyAlignment="1">
      <alignment horizontal="center" vertical="top"/>
    </xf>
    <xf numFmtId="0" fontId="4" fillId="0" borderId="0" xfId="0" applyFont="1"/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/>
    </xf>
    <xf numFmtId="0" fontId="27" fillId="0" borderId="41" xfId="0" applyFont="1" applyBorder="1" applyAlignment="1">
      <alignment horizontal="left"/>
    </xf>
    <xf numFmtId="0" fontId="27" fillId="0" borderId="42" xfId="0" applyFont="1" applyBorder="1" applyAlignment="1">
      <alignment horizontal="left"/>
    </xf>
    <xf numFmtId="0" fontId="27" fillId="0" borderId="43" xfId="0" applyFont="1" applyBorder="1" applyAlignment="1">
      <alignment horizontal="left"/>
    </xf>
    <xf numFmtId="0" fontId="3" fillId="6" borderId="8" xfId="0" applyFont="1" applyFill="1" applyBorder="1" applyAlignment="1">
      <alignment horizontal="left"/>
    </xf>
    <xf numFmtId="0" fontId="3" fillId="6" borderId="25" xfId="0" applyFont="1" applyFill="1" applyBorder="1" applyAlignment="1">
      <alignment horizontal="left"/>
    </xf>
    <xf numFmtId="0" fontId="3" fillId="6" borderId="10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27" fillId="0" borderId="49" xfId="0" applyFont="1" applyBorder="1" applyAlignment="1">
      <alignment horizontal="left"/>
    </xf>
    <xf numFmtId="0" fontId="27" fillId="0" borderId="50" xfId="0" applyFont="1" applyBorder="1" applyAlignment="1">
      <alignment horizontal="left"/>
    </xf>
    <xf numFmtId="0" fontId="27" fillId="0" borderId="51" xfId="0" applyFont="1" applyBorder="1" applyAlignment="1">
      <alignment horizontal="left"/>
    </xf>
    <xf numFmtId="0" fontId="1" fillId="0" borderId="0" xfId="0" applyFont="1" applyAlignment="1">
      <alignment horizontal="justify" wrapText="1"/>
    </xf>
    <xf numFmtId="0" fontId="1" fillId="0" borderId="0" xfId="0" applyFont="1" applyAlignment="1">
      <alignment horizontal="justify" vertical="top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justify" wrapText="1"/>
    </xf>
    <xf numFmtId="0" fontId="8" fillId="0" borderId="30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21" fillId="6" borderId="13" xfId="0" applyFont="1" applyFill="1" applyBorder="1" applyAlignment="1">
      <alignment horizontal="right" vertical="center" wrapText="1"/>
    </xf>
    <xf numFmtId="0" fontId="21" fillId="6" borderId="31" xfId="0" applyFont="1" applyFill="1" applyBorder="1" applyAlignment="1">
      <alignment horizontal="right" vertical="center" wrapText="1"/>
    </xf>
    <xf numFmtId="166" fontId="5" fillId="0" borderId="14" xfId="1" applyNumberFormat="1" applyFont="1" applyBorder="1" applyAlignment="1">
      <alignment horizontal="left" wrapText="1"/>
    </xf>
    <xf numFmtId="0" fontId="0" fillId="0" borderId="14" xfId="0" applyBorder="1" applyAlignment="1">
      <alignment wrapText="1"/>
    </xf>
    <xf numFmtId="0" fontId="0" fillId="0" borderId="0" xfId="0" applyAlignment="1">
      <alignment horizontal="justify" vertical="top"/>
    </xf>
    <xf numFmtId="3" fontId="5" fillId="0" borderId="14" xfId="3" applyNumberFormat="1" applyFont="1" applyBorder="1" applyAlignment="1">
      <alignment horizontal="left"/>
    </xf>
    <xf numFmtId="3" fontId="0" fillId="0" borderId="14" xfId="0" applyNumberFormat="1" applyBorder="1"/>
    <xf numFmtId="0" fontId="5" fillId="0" borderId="0" xfId="3" applyFont="1" applyAlignment="1">
      <alignment horizontal="left"/>
    </xf>
    <xf numFmtId="0" fontId="7" fillId="0" borderId="0" xfId="12" applyFont="1" applyAlignment="1">
      <alignment horizontal="left"/>
    </xf>
    <xf numFmtId="0" fontId="12" fillId="6" borderId="53" xfId="12" applyFont="1" applyFill="1" applyBorder="1" applyAlignment="1">
      <alignment horizontal="center" vertical="center" wrapText="1"/>
    </xf>
    <xf numFmtId="0" fontId="6" fillId="6" borderId="33" xfId="0" applyFont="1" applyFill="1" applyBorder="1" applyAlignment="1">
      <alignment horizontal="center" vertical="center" wrapText="1"/>
    </xf>
    <xf numFmtId="0" fontId="6" fillId="6" borderId="58" xfId="0" applyFont="1" applyFill="1" applyBorder="1" applyAlignment="1">
      <alignment horizontal="center" vertical="center" wrapText="1"/>
    </xf>
    <xf numFmtId="0" fontId="3" fillId="6" borderId="34" xfId="3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3" fillId="6" borderId="35" xfId="3" applyFont="1" applyFill="1" applyBorder="1" applyAlignment="1">
      <alignment horizontal="center" vertical="center" textRotation="90" wrapText="1"/>
    </xf>
    <xf numFmtId="0" fontId="0" fillId="6" borderId="12" xfId="0" applyFill="1" applyBorder="1" applyAlignment="1">
      <alignment horizontal="center" vertical="center" textRotation="90" wrapText="1"/>
    </xf>
    <xf numFmtId="0" fontId="3" fillId="6" borderId="35" xfId="3" applyFont="1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3" fillId="6" borderId="35" xfId="3" applyFont="1" applyFill="1" applyBorder="1" applyAlignment="1">
      <alignment horizontal="center" vertical="center" wrapText="1"/>
    </xf>
    <xf numFmtId="0" fontId="3" fillId="6" borderId="12" xfId="3" applyFont="1" applyFill="1" applyBorder="1" applyAlignment="1">
      <alignment horizontal="center" vertical="center" wrapText="1"/>
    </xf>
    <xf numFmtId="0" fontId="3" fillId="6" borderId="52" xfId="3" applyFont="1" applyFill="1" applyBorder="1" applyAlignment="1">
      <alignment horizontal="center" vertical="center" wrapText="1"/>
    </xf>
    <xf numFmtId="0" fontId="3" fillId="6" borderId="26" xfId="3" applyFont="1" applyFill="1" applyBorder="1" applyAlignment="1">
      <alignment horizontal="center" vertical="center" wrapText="1"/>
    </xf>
    <xf numFmtId="4" fontId="25" fillId="6" borderId="62" xfId="12" applyNumberFormat="1" applyFont="1" applyFill="1" applyBorder="1" applyAlignment="1">
      <alignment horizontal="center" vertical="center" wrapText="1"/>
    </xf>
    <xf numFmtId="0" fontId="27" fillId="6" borderId="59" xfId="0" applyFont="1" applyFill="1" applyBorder="1" applyAlignment="1">
      <alignment horizontal="center" vertical="center"/>
    </xf>
    <xf numFmtId="0" fontId="9" fillId="6" borderId="36" xfId="3" applyFont="1" applyFill="1" applyBorder="1" applyAlignment="1">
      <alignment horizontal="left" vertical="center"/>
    </xf>
    <xf numFmtId="0" fontId="9" fillId="6" borderId="37" xfId="3" applyFont="1" applyFill="1" applyBorder="1" applyAlignment="1">
      <alignment horizontal="left" vertical="center"/>
    </xf>
    <xf numFmtId="0" fontId="9" fillId="6" borderId="38" xfId="3" applyFont="1" applyFill="1" applyBorder="1" applyAlignment="1">
      <alignment horizontal="left" vertical="center"/>
    </xf>
    <xf numFmtId="0" fontId="3" fillId="0" borderId="14" xfId="3" applyFont="1" applyBorder="1" applyAlignment="1">
      <alignment horizontal="right"/>
    </xf>
    <xf numFmtId="0" fontId="36" fillId="0" borderId="53" xfId="12" applyFont="1" applyBorder="1" applyAlignment="1" applyProtection="1">
      <alignment horizontal="center" vertical="center" wrapText="1"/>
      <protection locked="0"/>
    </xf>
    <xf numFmtId="0" fontId="14" fillId="0" borderId="33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25" fillId="0" borderId="34" xfId="3" applyFont="1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17" fillId="0" borderId="35" xfId="3" applyFont="1" applyBorder="1" applyAlignment="1">
      <alignment horizontal="center" vertical="center" textRotation="90" wrapText="1"/>
    </xf>
    <xf numFmtId="0" fontId="16" fillId="0" borderId="12" xfId="0" applyFont="1" applyBorder="1" applyAlignment="1">
      <alignment horizontal="center" vertical="center" textRotation="90" wrapText="1"/>
    </xf>
    <xf numFmtId="0" fontId="8" fillId="0" borderId="35" xfId="3" applyFont="1" applyBorder="1" applyAlignment="1">
      <alignment horizontal="center" vertical="center" textRotation="90" wrapText="1"/>
    </xf>
    <xf numFmtId="0" fontId="0" fillId="0" borderId="12" xfId="0" applyBorder="1" applyAlignment="1">
      <alignment horizontal="center" vertical="center" textRotation="90" wrapText="1"/>
    </xf>
    <xf numFmtId="0" fontId="3" fillId="0" borderId="35" xfId="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5" fillId="0" borderId="35" xfId="3" applyFont="1" applyBorder="1" applyAlignment="1">
      <alignment horizontal="center" vertical="center" wrapText="1"/>
    </xf>
    <xf numFmtId="4" fontId="26" fillId="0" borderId="64" xfId="12" applyNumberFormat="1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/>
    </xf>
    <xf numFmtId="0" fontId="25" fillId="0" borderId="35" xfId="3" applyFont="1" applyBorder="1" applyAlignment="1">
      <alignment horizontal="center" vertical="center" textRotation="90" wrapText="1"/>
    </xf>
    <xf numFmtId="0" fontId="0" fillId="0" borderId="38" xfId="0" applyBorder="1"/>
    <xf numFmtId="0" fontId="8" fillId="0" borderId="35" xfId="3" applyFont="1" applyBorder="1" applyAlignment="1">
      <alignment horizontal="center" vertical="center" wrapText="1"/>
    </xf>
    <xf numFmtId="0" fontId="26" fillId="0" borderId="52" xfId="3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6" fillId="0" borderId="35" xfId="3" applyFont="1" applyBorder="1" applyAlignment="1">
      <alignment horizontal="center" vertical="center" textRotation="90" wrapText="1"/>
    </xf>
    <xf numFmtId="0" fontId="26" fillId="0" borderId="35" xfId="3" applyFont="1" applyBorder="1" applyAlignment="1">
      <alignment horizontal="center" vertical="center" wrapText="1"/>
    </xf>
    <xf numFmtId="0" fontId="8" fillId="0" borderId="52" xfId="3" applyFont="1" applyBorder="1" applyAlignment="1">
      <alignment horizontal="center" vertical="center" wrapText="1"/>
    </xf>
    <xf numFmtId="0" fontId="0" fillId="0" borderId="37" xfId="0" applyBorder="1"/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14" fillId="0" borderId="0" xfId="0" applyFont="1" applyAlignment="1">
      <alignment horizontal="center"/>
    </xf>
    <xf numFmtId="0" fontId="9" fillId="0" borderId="0" xfId="14" applyFont="1" applyAlignment="1">
      <alignment horizontal="center"/>
    </xf>
    <xf numFmtId="0" fontId="14" fillId="0" borderId="0" xfId="14" applyFont="1" applyAlignment="1">
      <alignment horizontal="center"/>
    </xf>
    <xf numFmtId="0" fontId="19" fillId="0" borderId="0" xfId="0" applyFont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0" fontId="1" fillId="0" borderId="0" xfId="0" applyFont="1" applyAlignment="1">
      <alignment horizontal="center"/>
    </xf>
  </cellXfs>
  <cellStyles count="16">
    <cellStyle name="Comma_izvrsenje300903-s planom 2" xfId="1" xr:uid="{00000000-0005-0000-0000-000000000000}"/>
    <cellStyle name="Loše" xfId="2" builtinId="27"/>
    <cellStyle name="Normal_sablon1-230704" xfId="3" xr:uid="{00000000-0005-0000-0000-000002000000}"/>
    <cellStyle name="Normal_sablon1-230704 2" xfId="4" xr:uid="{00000000-0005-0000-0000-000003000000}"/>
    <cellStyle name="Normal_sablon1-230704 2 2 2" xfId="12" xr:uid="{00000000-0005-0000-0000-000004000000}"/>
    <cellStyle name="Normalno" xfId="0" builtinId="0"/>
    <cellStyle name="Normalno 2" xfId="14" xr:uid="{AA140DB7-5170-45C1-A14A-51B6DCEBEEF9}"/>
    <cellStyle name="Obično 2" xfId="7" xr:uid="{00000000-0005-0000-0000-000006000000}"/>
    <cellStyle name="Obično 2 2" xfId="11" xr:uid="{00000000-0005-0000-0000-000007000000}"/>
    <cellStyle name="Obično 3" xfId="9" xr:uid="{00000000-0005-0000-0000-000008000000}"/>
    <cellStyle name="Postotak" xfId="5" builtinId="5"/>
    <cellStyle name="Zarez" xfId="15" builtinId="3"/>
    <cellStyle name="Zarez 2" xfId="6" xr:uid="{00000000-0005-0000-0000-00000B000000}"/>
    <cellStyle name="Zarez 2 2" xfId="8" xr:uid="{00000000-0005-0000-0000-00000C000000}"/>
    <cellStyle name="Zarez 2 2 2" xfId="13" xr:uid="{00000000-0005-0000-0000-00000D000000}"/>
    <cellStyle name="Zarez 2 3" xfId="10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105704</xdr:rowOff>
    </xdr:from>
    <xdr:to>
      <xdr:col>7</xdr:col>
      <xdr:colOff>495694</xdr:colOff>
      <xdr:row>7</xdr:row>
      <xdr:rowOff>91836</xdr:rowOff>
    </xdr:to>
    <xdr:pic>
      <xdr:nvPicPr>
        <xdr:cNvPr id="5" name="Slika 4" descr="logo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76700" y="105704"/>
          <a:ext cx="952894" cy="1119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zoomScaleNormal="100" workbookViewId="0">
      <selection activeCell="F26" sqref="F26"/>
    </sheetView>
  </sheetViews>
  <sheetFormatPr defaultRowHeight="12.75" x14ac:dyDescent="0.2"/>
  <cols>
    <col min="1" max="14" width="9.7109375" customWidth="1"/>
  </cols>
  <sheetData>
    <row r="1" spans="1:14" x14ac:dyDescent="0.2">
      <c r="A1" s="599"/>
      <c r="B1" s="599"/>
      <c r="C1" s="599"/>
      <c r="D1" s="599"/>
      <c r="E1" s="599"/>
      <c r="F1" s="599"/>
      <c r="G1" s="599"/>
      <c r="H1" s="599"/>
      <c r="I1" s="599"/>
    </row>
    <row r="2" spans="1:14" ht="12.75" customHeight="1" x14ac:dyDescent="0.2">
      <c r="B2" s="164"/>
      <c r="C2" s="165"/>
      <c r="D2" s="600" t="s">
        <v>0</v>
      </c>
      <c r="E2" s="601"/>
      <c r="F2" s="601"/>
      <c r="I2" s="600" t="s">
        <v>1</v>
      </c>
      <c r="J2" s="606"/>
      <c r="K2" s="606"/>
    </row>
    <row r="3" spans="1:14" x14ac:dyDescent="0.2">
      <c r="B3" s="165"/>
      <c r="C3" s="165"/>
      <c r="D3" s="601"/>
      <c r="E3" s="601"/>
      <c r="F3" s="601"/>
      <c r="I3" s="606"/>
      <c r="J3" s="606"/>
      <c r="K3" s="606"/>
    </row>
    <row r="4" spans="1:14" x14ac:dyDescent="0.2">
      <c r="B4" s="165"/>
      <c r="C4" s="165"/>
      <c r="D4" s="601"/>
      <c r="E4" s="601"/>
      <c r="F4" s="601"/>
      <c r="I4" s="606"/>
      <c r="J4" s="606"/>
      <c r="K4" s="606"/>
    </row>
    <row r="5" spans="1:14" x14ac:dyDescent="0.2">
      <c r="B5" s="165"/>
      <c r="C5" s="165"/>
      <c r="D5" s="601"/>
      <c r="E5" s="601"/>
      <c r="F5" s="601"/>
      <c r="I5" s="606"/>
      <c r="J5" s="606"/>
      <c r="K5" s="606"/>
    </row>
    <row r="6" spans="1:14" x14ac:dyDescent="0.2">
      <c r="B6" s="165"/>
      <c r="C6" s="165"/>
      <c r="D6" s="601"/>
      <c r="E6" s="601"/>
      <c r="F6" s="601"/>
      <c r="I6" s="606"/>
      <c r="J6" s="606"/>
      <c r="K6" s="606"/>
    </row>
    <row r="7" spans="1:14" x14ac:dyDescent="0.2">
      <c r="B7" s="165"/>
      <c r="C7" s="165"/>
      <c r="D7" s="601"/>
      <c r="E7" s="601"/>
      <c r="F7" s="601"/>
      <c r="I7" s="606"/>
      <c r="J7" s="606"/>
      <c r="K7" s="606"/>
    </row>
    <row r="8" spans="1:14" ht="13.5" thickBot="1" x14ac:dyDescent="0.25">
      <c r="A8" s="233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</row>
    <row r="9" spans="1:14" ht="13.5" thickTop="1" x14ac:dyDescent="0.2"/>
    <row r="12" spans="1:14" ht="18.75" x14ac:dyDescent="0.3">
      <c r="L12" s="607" t="s">
        <v>903</v>
      </c>
      <c r="M12" s="607"/>
      <c r="N12" s="607"/>
    </row>
    <row r="15" spans="1:14" ht="12.75" customHeight="1" x14ac:dyDescent="0.2">
      <c r="A15" s="602" t="s">
        <v>799</v>
      </c>
      <c r="B15" s="599"/>
      <c r="C15" s="599"/>
      <c r="D15" s="599"/>
      <c r="E15" s="599"/>
      <c r="F15" s="599"/>
      <c r="G15" s="599"/>
      <c r="H15" s="599"/>
      <c r="I15" s="599"/>
      <c r="J15" s="599"/>
      <c r="K15" s="599"/>
      <c r="L15" s="603"/>
      <c r="M15" s="603"/>
      <c r="N15" s="603"/>
    </row>
    <row r="16" spans="1:14" x14ac:dyDescent="0.2">
      <c r="A16" s="599"/>
      <c r="B16" s="599"/>
      <c r="C16" s="599"/>
      <c r="D16" s="599"/>
      <c r="E16" s="599"/>
      <c r="F16" s="599"/>
      <c r="G16" s="599"/>
      <c r="H16" s="599"/>
      <c r="I16" s="599"/>
      <c r="J16" s="599"/>
      <c r="K16" s="599"/>
      <c r="L16" s="603"/>
      <c r="M16" s="603"/>
      <c r="N16" s="603"/>
    </row>
    <row r="17" spans="1:14" x14ac:dyDescent="0.2">
      <c r="A17" s="599"/>
      <c r="B17" s="599"/>
      <c r="C17" s="599"/>
      <c r="D17" s="599"/>
      <c r="E17" s="599"/>
      <c r="F17" s="599"/>
      <c r="G17" s="599"/>
      <c r="H17" s="599"/>
      <c r="I17" s="599"/>
      <c r="J17" s="599"/>
      <c r="K17" s="599"/>
      <c r="L17" s="603"/>
      <c r="M17" s="603"/>
      <c r="N17" s="603"/>
    </row>
    <row r="18" spans="1:14" x14ac:dyDescent="0.2">
      <c r="A18" s="599"/>
      <c r="B18" s="599"/>
      <c r="C18" s="599"/>
      <c r="D18" s="599"/>
      <c r="E18" s="599"/>
      <c r="F18" s="599"/>
      <c r="G18" s="599"/>
      <c r="H18" s="599"/>
      <c r="I18" s="599"/>
      <c r="J18" s="599"/>
      <c r="K18" s="599"/>
      <c r="L18" s="603"/>
      <c r="M18" s="603"/>
      <c r="N18" s="603"/>
    </row>
    <row r="19" spans="1:14" x14ac:dyDescent="0.2">
      <c r="A19" s="599"/>
      <c r="B19" s="599"/>
      <c r="C19" s="599"/>
      <c r="D19" s="599"/>
      <c r="E19" s="599"/>
      <c r="F19" s="599"/>
      <c r="G19" s="599"/>
      <c r="H19" s="599"/>
      <c r="I19" s="599"/>
      <c r="J19" s="599"/>
      <c r="K19" s="599"/>
      <c r="L19" s="603"/>
      <c r="M19" s="603"/>
      <c r="N19" s="603"/>
    </row>
    <row r="20" spans="1:14" ht="13.5" customHeight="1" x14ac:dyDescent="0.2">
      <c r="A20" s="599"/>
      <c r="B20" s="599"/>
      <c r="C20" s="599"/>
      <c r="D20" s="599"/>
      <c r="E20" s="599"/>
      <c r="F20" s="599"/>
      <c r="G20" s="599"/>
      <c r="H20" s="599"/>
      <c r="I20" s="599"/>
      <c r="J20" s="599"/>
      <c r="K20" s="599"/>
      <c r="L20" s="603"/>
      <c r="M20" s="603"/>
      <c r="N20" s="603"/>
    </row>
    <row r="38" spans="1:14" x14ac:dyDescent="0.2">
      <c r="A38" s="604" t="s">
        <v>800</v>
      </c>
      <c r="B38" s="605"/>
      <c r="C38" s="605"/>
      <c r="D38" s="605"/>
      <c r="E38" s="605"/>
      <c r="F38" s="605"/>
      <c r="G38" s="605"/>
      <c r="H38" s="605"/>
      <c r="I38" s="605"/>
      <c r="J38" s="605"/>
      <c r="K38" s="605"/>
      <c r="L38" s="605"/>
      <c r="M38" s="605"/>
      <c r="N38" s="605"/>
    </row>
    <row r="39" spans="1:14" x14ac:dyDescent="0.2">
      <c r="A39" s="605"/>
      <c r="B39" s="605"/>
      <c r="C39" s="605"/>
      <c r="D39" s="605"/>
      <c r="E39" s="605"/>
      <c r="F39" s="605"/>
      <c r="G39" s="605"/>
      <c r="H39" s="605"/>
      <c r="I39" s="605"/>
      <c r="J39" s="605"/>
      <c r="K39" s="605"/>
      <c r="L39" s="605"/>
      <c r="M39" s="605"/>
      <c r="N39" s="605"/>
    </row>
    <row r="40" spans="1:14" ht="15.75" x14ac:dyDescent="0.2">
      <c r="A40" s="521"/>
      <c r="B40" s="521"/>
      <c r="C40" s="521"/>
      <c r="D40" s="521"/>
      <c r="E40" s="521"/>
      <c r="F40" s="521"/>
      <c r="G40" s="521"/>
      <c r="H40" s="521"/>
      <c r="I40" s="521"/>
    </row>
  </sheetData>
  <mergeCells count="6">
    <mergeCell ref="A1:I1"/>
    <mergeCell ref="D2:F7"/>
    <mergeCell ref="A15:N20"/>
    <mergeCell ref="A38:N39"/>
    <mergeCell ref="I2:K7"/>
    <mergeCell ref="L12:N12"/>
  </mergeCells>
  <phoneticPr fontId="0" type="noConversion"/>
  <pageMargins left="0.6692913385826772" right="0.43307086614173229" top="0.5" bottom="0.76" header="0.51181102362204722" footer="0.51181102362204722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42"/>
  <dimension ref="B1:O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5" ht="13.5" thickBot="1" x14ac:dyDescent="0.25"/>
    <row r="2" spans="2:15" s="64" customFormat="1" ht="20.100000000000001" customHeight="1" thickTop="1" thickBot="1" x14ac:dyDescent="0.25">
      <c r="B2" s="649" t="s">
        <v>468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5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5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74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5" s="1" customFormat="1" ht="27" customHeight="1" x14ac:dyDescent="0.2">
      <c r="B5" s="657"/>
      <c r="C5" s="659"/>
      <c r="D5" s="659"/>
      <c r="E5" s="661"/>
      <c r="F5" s="663"/>
      <c r="G5" s="661"/>
      <c r="H5" s="663"/>
      <c r="I5" s="671"/>
      <c r="J5" s="663"/>
      <c r="K5" s="265" t="s">
        <v>289</v>
      </c>
      <c r="L5" s="159" t="s">
        <v>290</v>
      </c>
      <c r="M5" s="468" t="s">
        <v>291</v>
      </c>
      <c r="N5" s="666"/>
    </row>
    <row r="6" spans="2:15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232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5" s="2" customFormat="1" ht="12.95" customHeight="1" x14ac:dyDescent="0.25">
      <c r="B7" s="6" t="s">
        <v>457</v>
      </c>
      <c r="C7" s="7" t="s">
        <v>451</v>
      </c>
      <c r="D7" s="7" t="s">
        <v>469</v>
      </c>
      <c r="E7" s="286" t="s">
        <v>605</v>
      </c>
      <c r="F7" s="5"/>
      <c r="G7" s="5"/>
      <c r="H7" s="5"/>
      <c r="I7" s="258"/>
      <c r="J7" s="5"/>
      <c r="K7" s="4"/>
      <c r="L7" s="5"/>
      <c r="M7" s="502"/>
      <c r="N7" s="537"/>
    </row>
    <row r="8" spans="2:15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94320</v>
      </c>
      <c r="J8" s="150">
        <f>SUM(J9:J11)</f>
        <v>94320</v>
      </c>
      <c r="K8" s="319">
        <f>SUM(K9:K11)</f>
        <v>88350</v>
      </c>
      <c r="L8" s="153">
        <f>SUM(L9:L11)</f>
        <v>0</v>
      </c>
      <c r="M8" s="503">
        <f>SUM(M9:M11)</f>
        <v>88350</v>
      </c>
      <c r="N8" s="538">
        <f t="shared" ref="N8:N29" si="0">IF(J8=0,"",M8/J8*100)</f>
        <v>93.670483460559794</v>
      </c>
    </row>
    <row r="9" spans="2:15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69200+100</f>
        <v>69300</v>
      </c>
      <c r="J9" s="151">
        <f>69200+100</f>
        <v>69300</v>
      </c>
      <c r="K9" s="253">
        <f>62480+7*1700+1560</f>
        <v>75940</v>
      </c>
      <c r="L9" s="151">
        <v>0</v>
      </c>
      <c r="M9" s="504">
        <f>SUM(K9:L9)</f>
        <v>75940</v>
      </c>
      <c r="N9" s="539">
        <f t="shared" si="0"/>
        <v>109.58152958152958</v>
      </c>
      <c r="O9" s="44"/>
    </row>
    <row r="10" spans="2:15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24120+100+2*400</f>
        <v>25020</v>
      </c>
      <c r="J10" s="151">
        <f>24120+100+2*400</f>
        <v>25020</v>
      </c>
      <c r="K10" s="253">
        <f>8910+3500</f>
        <v>12410</v>
      </c>
      <c r="L10" s="151">
        <v>0</v>
      </c>
      <c r="M10" s="504">
        <f t="shared" ref="M10" si="1">SUM(K10:L10)</f>
        <v>12410</v>
      </c>
      <c r="N10" s="539">
        <f t="shared" si="0"/>
        <v>49.600319744204633</v>
      </c>
      <c r="O10" s="44"/>
    </row>
    <row r="11" spans="2:15" ht="8.1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5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 t="shared" ref="I12" si="2">I13</f>
        <v>7570</v>
      </c>
      <c r="J12" s="150">
        <f t="shared" ref="J12" si="3">J13</f>
        <v>7570</v>
      </c>
      <c r="K12" s="319">
        <f>K13</f>
        <v>8200</v>
      </c>
      <c r="L12" s="153">
        <f>L13</f>
        <v>0</v>
      </c>
      <c r="M12" s="503">
        <f>M13</f>
        <v>8200</v>
      </c>
      <c r="N12" s="538">
        <f t="shared" si="0"/>
        <v>108.32232496697489</v>
      </c>
    </row>
    <row r="13" spans="2:15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7550+20</f>
        <v>7570</v>
      </c>
      <c r="J13" s="151">
        <f>7550+20</f>
        <v>7570</v>
      </c>
      <c r="K13" s="253">
        <f>6620+7*200+180</f>
        <v>8200</v>
      </c>
      <c r="L13" s="151">
        <v>0</v>
      </c>
      <c r="M13" s="504">
        <f>SUM(K13:L13)</f>
        <v>8200</v>
      </c>
      <c r="N13" s="539">
        <f t="shared" si="0"/>
        <v>108.32232496697489</v>
      </c>
    </row>
    <row r="14" spans="2:15" ht="8.1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5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7500</v>
      </c>
      <c r="J15" s="150">
        <f>SUM(J16:J24)</f>
        <v>7500</v>
      </c>
      <c r="K15" s="320">
        <f>SUM(K16:K24)</f>
        <v>7650</v>
      </c>
      <c r="L15" s="155">
        <f>SUM(L16:L24)</f>
        <v>0</v>
      </c>
      <c r="M15" s="476">
        <f>SUM(M16:M24)</f>
        <v>7650</v>
      </c>
      <c r="N15" s="538">
        <f t="shared" si="0"/>
        <v>102</v>
      </c>
    </row>
    <row r="16" spans="2:15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700</v>
      </c>
      <c r="J16" s="151">
        <v>700</v>
      </c>
      <c r="K16" s="253">
        <v>750</v>
      </c>
      <c r="L16" s="151">
        <v>0</v>
      </c>
      <c r="M16" s="504">
        <f t="shared" ref="M16:M24" si="4">SUM(K16:L16)</f>
        <v>750</v>
      </c>
      <c r="N16" s="539">
        <f t="shared" si="0"/>
        <v>107.14285714285714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4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3000</v>
      </c>
      <c r="J18" s="151">
        <v>3000</v>
      </c>
      <c r="K18" s="253">
        <v>3500</v>
      </c>
      <c r="L18" s="151">
        <v>0</v>
      </c>
      <c r="M18" s="504">
        <f t="shared" si="4"/>
        <v>3500</v>
      </c>
      <c r="N18" s="539">
        <f t="shared" si="0"/>
        <v>116.66666666666667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0</v>
      </c>
      <c r="J19" s="151">
        <v>0</v>
      </c>
      <c r="K19" s="253">
        <v>550</v>
      </c>
      <c r="L19" s="151">
        <v>0</v>
      </c>
      <c r="M19" s="504">
        <f t="shared" si="4"/>
        <v>550</v>
      </c>
      <c r="N19" s="539" t="str">
        <f t="shared" si="0"/>
        <v/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4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4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800</v>
      </c>
      <c r="J22" s="151">
        <v>800</v>
      </c>
      <c r="K22" s="253">
        <v>850</v>
      </c>
      <c r="L22" s="151">
        <v>0</v>
      </c>
      <c r="M22" s="504">
        <f t="shared" si="4"/>
        <v>850</v>
      </c>
      <c r="N22" s="539">
        <f t="shared" si="0"/>
        <v>106.25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4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3000</v>
      </c>
      <c r="J24" s="151">
        <v>3000</v>
      </c>
      <c r="K24" s="253">
        <v>2000</v>
      </c>
      <c r="L24" s="151">
        <v>0</v>
      </c>
      <c r="M24" s="504">
        <f t="shared" si="4"/>
        <v>2000</v>
      </c>
      <c r="N24" s="539">
        <f t="shared" si="0"/>
        <v>66.666666666666657</v>
      </c>
    </row>
    <row r="25" spans="2:14" s="1" customFormat="1" ht="8.1" customHeight="1" x14ac:dyDescent="0.2">
      <c r="B25" s="12"/>
      <c r="C25" s="8"/>
      <c r="D25" s="8"/>
      <c r="E25" s="285"/>
      <c r="F25" s="129"/>
      <c r="G25" s="143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0">
        <f t="shared" ref="I26" si="5">SUM(I27:I28)</f>
        <v>2000</v>
      </c>
      <c r="J26" s="150">
        <f t="shared" ref="J26" si="6">SUM(J27:J28)</f>
        <v>2000</v>
      </c>
      <c r="K26" s="319">
        <f>SUM(K27:K28)</f>
        <v>2000</v>
      </c>
      <c r="L26" s="153">
        <f>SUM(L27:L28)</f>
        <v>0</v>
      </c>
      <c r="M26" s="476">
        <f>SUM(M27:M28)</f>
        <v>2000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7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2000</v>
      </c>
      <c r="J28" s="151">
        <v>2000</v>
      </c>
      <c r="K28" s="253">
        <v>2000</v>
      </c>
      <c r="L28" s="151">
        <v>0</v>
      </c>
      <c r="M28" s="504">
        <f t="shared" si="7"/>
        <v>2000</v>
      </c>
      <c r="N28" s="539">
        <f t="shared" si="0"/>
        <v>100</v>
      </c>
    </row>
    <row r="29" spans="2:14" ht="8.1" customHeight="1" x14ac:dyDescent="0.2">
      <c r="B29" s="10"/>
      <c r="C29" s="11"/>
      <c r="D29" s="11"/>
      <c r="E29" s="11"/>
      <c r="F29" s="122"/>
      <c r="G29" s="136"/>
      <c r="H29" s="22"/>
      <c r="I29" s="151"/>
      <c r="J29" s="151"/>
      <c r="K29" s="253"/>
      <c r="L29" s="151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49">
        <v>2</v>
      </c>
      <c r="J30" s="249">
        <v>2</v>
      </c>
      <c r="K30" s="321" t="s">
        <v>889</v>
      </c>
      <c r="L30" s="153"/>
      <c r="M30" s="471" t="s">
        <v>889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111390</v>
      </c>
      <c r="J31" s="14">
        <f>J8+J12+J15+J26</f>
        <v>111390</v>
      </c>
      <c r="K31" s="262">
        <f>K8+K12+K15+K26</f>
        <v>106200</v>
      </c>
      <c r="L31" s="14">
        <f>L8+L12+L15+L26</f>
        <v>0</v>
      </c>
      <c r="M31" s="476">
        <f>M8+M12+M15+M26</f>
        <v>106200</v>
      </c>
      <c r="N31" s="538">
        <f>IF(J31=0,"",M31/J31*100)</f>
        <v>95.34069485591165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259"/>
      <c r="J33" s="14"/>
      <c r="K33" s="262"/>
      <c r="L33" s="14"/>
      <c r="M33" s="476"/>
      <c r="N33" s="539" t="str">
        <f>IF(J33=0,"",M33/J33*100)</f>
        <v/>
      </c>
    </row>
    <row r="34" spans="2:14" ht="8.1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6"/>
  <dimension ref="B1:O94"/>
  <sheetViews>
    <sheetView topLeftCell="B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5" ht="13.5" thickBot="1" x14ac:dyDescent="0.25"/>
    <row r="2" spans="2:15" s="64" customFormat="1" ht="20.100000000000001" customHeight="1" thickTop="1" thickBot="1" x14ac:dyDescent="0.25">
      <c r="B2" s="649" t="s">
        <v>826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5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5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5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5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5" s="2" customFormat="1" ht="12.95" customHeight="1" x14ac:dyDescent="0.25">
      <c r="B7" s="6" t="s">
        <v>457</v>
      </c>
      <c r="C7" s="7" t="s">
        <v>451</v>
      </c>
      <c r="D7" s="7" t="s">
        <v>470</v>
      </c>
      <c r="E7" s="286" t="s">
        <v>605</v>
      </c>
      <c r="F7" s="5"/>
      <c r="G7" s="5"/>
      <c r="H7" s="5"/>
      <c r="I7" s="258"/>
      <c r="J7" s="268"/>
      <c r="K7" s="4"/>
      <c r="L7" s="5"/>
      <c r="M7" s="502"/>
      <c r="N7" s="537"/>
    </row>
    <row r="8" spans="2:15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246400</v>
      </c>
      <c r="J8" s="150">
        <f>SUM(J9:J11)</f>
        <v>246400</v>
      </c>
      <c r="K8" s="319">
        <f>SUM(K9:K11)</f>
        <v>281080</v>
      </c>
      <c r="L8" s="266">
        <f>SUM(L9:L11)</f>
        <v>0</v>
      </c>
      <c r="M8" s="503">
        <f>SUM(M9:M11)</f>
        <v>281080</v>
      </c>
      <c r="N8" s="538">
        <f t="shared" ref="N8:N29" si="0">IF(J8=0,"",M8/J8*100)</f>
        <v>114.07467532467533</v>
      </c>
    </row>
    <row r="9" spans="2:15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267">
        <f>200750+3*700+300</f>
        <v>203150</v>
      </c>
      <c r="J9" s="267">
        <f>200750+3*700+300</f>
        <v>203150</v>
      </c>
      <c r="K9" s="253">
        <f>210990+10*2100+5280</f>
        <v>237270</v>
      </c>
      <c r="L9" s="267">
        <v>0</v>
      </c>
      <c r="M9" s="504">
        <f>SUM(K9:L9)</f>
        <v>237270</v>
      </c>
      <c r="N9" s="539">
        <f t="shared" si="0"/>
        <v>116.79547132660595</v>
      </c>
      <c r="O9" s="44"/>
    </row>
    <row r="10" spans="2:15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267">
        <f>40150+300+7*400</f>
        <v>43250</v>
      </c>
      <c r="J10" s="267">
        <f>40150+300+7*400</f>
        <v>43250</v>
      </c>
      <c r="K10" s="253">
        <f>39110+4700</f>
        <v>43810</v>
      </c>
      <c r="L10" s="267">
        <v>0</v>
      </c>
      <c r="M10" s="504">
        <f t="shared" ref="M10" si="1">SUM(K10:L10)</f>
        <v>43810</v>
      </c>
      <c r="N10" s="539">
        <f t="shared" si="0"/>
        <v>101.29479768786128</v>
      </c>
      <c r="O10" s="44"/>
    </row>
    <row r="11" spans="2:15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267"/>
      <c r="M11" s="504"/>
      <c r="N11" s="539" t="str">
        <f t="shared" si="0"/>
        <v/>
      </c>
    </row>
    <row r="12" spans="2:15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 t="shared" ref="I12:J12" si="2">I13</f>
        <v>21390</v>
      </c>
      <c r="J12" s="150">
        <f t="shared" si="2"/>
        <v>21390</v>
      </c>
      <c r="K12" s="319">
        <f>K13</f>
        <v>25320</v>
      </c>
      <c r="L12" s="266">
        <f>L13</f>
        <v>0</v>
      </c>
      <c r="M12" s="503">
        <f>M13</f>
        <v>25320</v>
      </c>
      <c r="N12" s="538">
        <f t="shared" si="0"/>
        <v>118.37307152875177</v>
      </c>
    </row>
    <row r="13" spans="2:15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21100+3*80+50</f>
        <v>21390</v>
      </c>
      <c r="J13" s="151">
        <f>21100+3*80+50</f>
        <v>21390</v>
      </c>
      <c r="K13" s="253">
        <f>22340+10*240+580</f>
        <v>25320</v>
      </c>
      <c r="L13" s="267">
        <v>0</v>
      </c>
      <c r="M13" s="504">
        <f>SUM(K13:L13)</f>
        <v>25320</v>
      </c>
      <c r="N13" s="539">
        <f t="shared" si="0"/>
        <v>118.37307152875177</v>
      </c>
    </row>
    <row r="14" spans="2:15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5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36000</v>
      </c>
      <c r="J15" s="150">
        <f>SUM(J16:J24)</f>
        <v>36000</v>
      </c>
      <c r="K15" s="320">
        <f>SUM(K16:K24)</f>
        <v>35500</v>
      </c>
      <c r="L15" s="155">
        <f>SUM(L16:L24)</f>
        <v>0</v>
      </c>
      <c r="M15" s="476">
        <f>SUM(M16:M24)</f>
        <v>35500</v>
      </c>
      <c r="N15" s="538">
        <f t="shared" si="0"/>
        <v>98.611111111111114</v>
      </c>
    </row>
    <row r="16" spans="2:15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7000</v>
      </c>
      <c r="J16" s="151">
        <v>7000</v>
      </c>
      <c r="K16" s="253">
        <v>10000</v>
      </c>
      <c r="L16" s="151">
        <v>0</v>
      </c>
      <c r="M16" s="504">
        <f t="shared" ref="M16:M24" si="3">SUM(K16:L16)</f>
        <v>10000</v>
      </c>
      <c r="N16" s="539">
        <f t="shared" si="0"/>
        <v>142.85714285714286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2000</v>
      </c>
      <c r="J18" s="151">
        <v>2000</v>
      </c>
      <c r="K18" s="253">
        <v>3000</v>
      </c>
      <c r="L18" s="151">
        <v>0</v>
      </c>
      <c r="M18" s="504">
        <f t="shared" si="3"/>
        <v>3000</v>
      </c>
      <c r="N18" s="539">
        <f t="shared" si="0"/>
        <v>150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1200</v>
      </c>
      <c r="J19" s="151">
        <v>1200</v>
      </c>
      <c r="K19" s="253">
        <v>1500</v>
      </c>
      <c r="L19" s="151">
        <v>0</v>
      </c>
      <c r="M19" s="504">
        <f t="shared" si="3"/>
        <v>1500</v>
      </c>
      <c r="N19" s="539">
        <f t="shared" si="0"/>
        <v>125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800</v>
      </c>
      <c r="J22" s="151">
        <v>800</v>
      </c>
      <c r="K22" s="253">
        <v>1000</v>
      </c>
      <c r="L22" s="151">
        <v>0</v>
      </c>
      <c r="M22" s="504">
        <f t="shared" si="3"/>
        <v>1000</v>
      </c>
      <c r="N22" s="539">
        <f t="shared" si="0"/>
        <v>125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25000</v>
      </c>
      <c r="J24" s="151">
        <v>25000</v>
      </c>
      <c r="K24" s="253">
        <v>20000</v>
      </c>
      <c r="L24" s="151">
        <v>0</v>
      </c>
      <c r="M24" s="504">
        <f t="shared" si="3"/>
        <v>20000</v>
      </c>
      <c r="N24" s="539">
        <f t="shared" si="0"/>
        <v>80</v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0">
        <f t="shared" ref="I26:J26" si="4">SUM(I27:I28)</f>
        <v>5000</v>
      </c>
      <c r="J26" s="150">
        <f t="shared" si="4"/>
        <v>5000</v>
      </c>
      <c r="K26" s="319">
        <f>SUM(K27:K28)</f>
        <v>5000</v>
      </c>
      <c r="L26" s="153">
        <f>SUM(L27:L28)</f>
        <v>0</v>
      </c>
      <c r="M26" s="476">
        <f>SUM(M27:M28)</f>
        <v>5000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5000</v>
      </c>
      <c r="J28" s="151">
        <v>5000</v>
      </c>
      <c r="K28" s="253">
        <v>5000</v>
      </c>
      <c r="L28" s="151">
        <v>0</v>
      </c>
      <c r="M28" s="504">
        <f t="shared" si="5"/>
        <v>5000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1"/>
      <c r="J29" s="151"/>
      <c r="K29" s="253"/>
      <c r="L29" s="151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49" t="s">
        <v>471</v>
      </c>
      <c r="J30" s="249" t="s">
        <v>471</v>
      </c>
      <c r="K30" s="321" t="s">
        <v>787</v>
      </c>
      <c r="L30" s="269"/>
      <c r="M30" s="471" t="s">
        <v>787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308790</v>
      </c>
      <c r="J31" s="14">
        <f>J8+J12+J15+J26</f>
        <v>308790</v>
      </c>
      <c r="K31" s="262">
        <f>K8+K12+K15+K26</f>
        <v>346900</v>
      </c>
      <c r="L31" s="14">
        <f>L8+L12+L15+L26</f>
        <v>0</v>
      </c>
      <c r="M31" s="476">
        <f>M8+M12+M15+M26</f>
        <v>346900</v>
      </c>
      <c r="N31" s="538">
        <f>IF(J31=0,"",M31/J31*100)</f>
        <v>112.34172091065125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/>
      <c r="J32" s="14"/>
      <c r="K32" s="262"/>
      <c r="L32" s="14"/>
      <c r="M32" s="476"/>
      <c r="N32" s="538" t="str">
        <f>IF(J32=0,"",M32/J32*100)</f>
        <v/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/>
      <c r="J33" s="14"/>
      <c r="K33" s="262"/>
      <c r="L33" s="14"/>
      <c r="M33" s="476"/>
      <c r="N33" s="538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K35" s="543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94"/>
  <sheetViews>
    <sheetView topLeftCell="B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7" ht="13.5" thickBot="1" x14ac:dyDescent="0.25"/>
    <row r="2" spans="2:17" s="64" customFormat="1" ht="20.100000000000001" customHeight="1" thickTop="1" thickBot="1" x14ac:dyDescent="0.25">
      <c r="B2" s="649" t="s">
        <v>472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7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7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0" t="s">
        <v>808</v>
      </c>
      <c r="K4" s="653" t="s">
        <v>813</v>
      </c>
      <c r="L4" s="654"/>
      <c r="M4" s="655"/>
      <c r="N4" s="665" t="s">
        <v>65</v>
      </c>
    </row>
    <row r="5" spans="2:17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71"/>
      <c r="K5" s="265" t="s">
        <v>289</v>
      </c>
      <c r="L5" s="159" t="s">
        <v>290</v>
      </c>
      <c r="M5" s="468" t="s">
        <v>291</v>
      </c>
      <c r="N5" s="666"/>
    </row>
    <row r="6" spans="2:17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232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7" s="2" customFormat="1" ht="12.95" customHeight="1" x14ac:dyDescent="0.25">
      <c r="B7" s="6" t="s">
        <v>457</v>
      </c>
      <c r="C7" s="7" t="s">
        <v>451</v>
      </c>
      <c r="D7" s="7" t="s">
        <v>473</v>
      </c>
      <c r="E7" s="286" t="s">
        <v>605</v>
      </c>
      <c r="F7" s="5"/>
      <c r="G7" s="5"/>
      <c r="H7" s="5"/>
      <c r="I7" s="5"/>
      <c r="J7" s="258"/>
      <c r="K7" s="4"/>
      <c r="L7" s="5"/>
      <c r="M7" s="502"/>
      <c r="N7" s="537"/>
    </row>
    <row r="8" spans="2:17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157750</v>
      </c>
      <c r="J8" s="150">
        <f>SUM(J9:J11)</f>
        <v>157750</v>
      </c>
      <c r="K8" s="319">
        <f>SUM(K9:K11)</f>
        <v>158270</v>
      </c>
      <c r="L8" s="153">
        <f>SUM(L9:L11)</f>
        <v>0</v>
      </c>
      <c r="M8" s="503">
        <f>SUM(M9:M11)</f>
        <v>158270</v>
      </c>
      <c r="N8" s="538">
        <f t="shared" ref="N8:N32" si="0">IF(J8=0,"",M8/J8*100)</f>
        <v>100.32963549920761</v>
      </c>
    </row>
    <row r="9" spans="2:17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125150+200</f>
        <v>125350</v>
      </c>
      <c r="J9" s="151">
        <f>125150+200</f>
        <v>125350</v>
      </c>
      <c r="K9" s="253">
        <f>128420+3210</f>
        <v>131630</v>
      </c>
      <c r="L9" s="151">
        <v>0</v>
      </c>
      <c r="M9" s="504">
        <f>SUM(K9:L9)</f>
        <v>131630</v>
      </c>
      <c r="N9" s="539">
        <f t="shared" si="0"/>
        <v>105.00997207818111</v>
      </c>
    </row>
    <row r="10" spans="2:17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30600+200+4*400</f>
        <v>32400</v>
      </c>
      <c r="J10" s="151">
        <f>30600+200+4*400</f>
        <v>32400</v>
      </c>
      <c r="K10" s="253">
        <f>26640</f>
        <v>26640</v>
      </c>
      <c r="L10" s="151">
        <v>0</v>
      </c>
      <c r="M10" s="504">
        <f t="shared" ref="M10" si="1">SUM(K10:L10)</f>
        <v>26640</v>
      </c>
      <c r="N10" s="539">
        <f t="shared" si="0"/>
        <v>82.222222222222214</v>
      </c>
    </row>
    <row r="11" spans="2:17" ht="8.1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7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 t="shared" ref="I12:J12" si="2">I13</f>
        <v>13190</v>
      </c>
      <c r="J12" s="150">
        <f t="shared" si="2"/>
        <v>13190</v>
      </c>
      <c r="K12" s="319">
        <f t="shared" ref="K12" si="3">K13</f>
        <v>13930</v>
      </c>
      <c r="L12" s="153">
        <f>L13</f>
        <v>0</v>
      </c>
      <c r="M12" s="503">
        <f>M13</f>
        <v>13930</v>
      </c>
      <c r="N12" s="538">
        <f t="shared" si="0"/>
        <v>105.61031084154662</v>
      </c>
      <c r="Q12" s="46"/>
    </row>
    <row r="13" spans="2:17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13160+30</f>
        <v>13190</v>
      </c>
      <c r="J13" s="151">
        <f>13160+30</f>
        <v>13190</v>
      </c>
      <c r="K13" s="253">
        <f>13570+360</f>
        <v>13930</v>
      </c>
      <c r="L13" s="151">
        <v>0</v>
      </c>
      <c r="M13" s="504">
        <f>SUM(K13:L13)</f>
        <v>13930</v>
      </c>
      <c r="N13" s="539">
        <f t="shared" si="0"/>
        <v>105.61031084154662</v>
      </c>
    </row>
    <row r="14" spans="2:17" ht="8.1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7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6500</v>
      </c>
      <c r="J15" s="150">
        <f>SUM(J16:J24)</f>
        <v>6500</v>
      </c>
      <c r="K15" s="320">
        <f>SUM(K16:K24)</f>
        <v>7000</v>
      </c>
      <c r="L15" s="155">
        <f>SUM(L16:L24)</f>
        <v>0</v>
      </c>
      <c r="M15" s="476">
        <f>SUM(M16:M24)</f>
        <v>7000</v>
      </c>
      <c r="N15" s="538">
        <f t="shared" si="0"/>
        <v>107.69230769230769</v>
      </c>
    </row>
    <row r="16" spans="2:17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500</v>
      </c>
      <c r="J16" s="151">
        <v>500</v>
      </c>
      <c r="K16" s="253">
        <v>1000</v>
      </c>
      <c r="L16" s="151">
        <v>0</v>
      </c>
      <c r="M16" s="504">
        <f t="shared" ref="M16:M24" si="4">SUM(K16:L16)</f>
        <v>1000</v>
      </c>
      <c r="N16" s="539">
        <f t="shared" si="0"/>
        <v>200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4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2500</v>
      </c>
      <c r="J18" s="151">
        <v>2500</v>
      </c>
      <c r="K18" s="253">
        <v>2500</v>
      </c>
      <c r="L18" s="151">
        <v>0</v>
      </c>
      <c r="M18" s="504">
        <f t="shared" si="4"/>
        <v>2500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1500</v>
      </c>
      <c r="J19" s="151">
        <v>1500</v>
      </c>
      <c r="K19" s="253">
        <v>1000</v>
      </c>
      <c r="L19" s="151">
        <v>0</v>
      </c>
      <c r="M19" s="504">
        <f t="shared" si="4"/>
        <v>1000</v>
      </c>
      <c r="N19" s="539">
        <f t="shared" si="0"/>
        <v>66.666666666666657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4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4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500</v>
      </c>
      <c r="J22" s="151">
        <v>500</v>
      </c>
      <c r="K22" s="253">
        <v>1000</v>
      </c>
      <c r="L22" s="151">
        <v>0</v>
      </c>
      <c r="M22" s="504">
        <f t="shared" si="4"/>
        <v>1000</v>
      </c>
      <c r="N22" s="539">
        <f t="shared" si="0"/>
        <v>200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4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1500</v>
      </c>
      <c r="J24" s="151">
        <v>1500</v>
      </c>
      <c r="K24" s="253">
        <v>1500</v>
      </c>
      <c r="L24" s="151">
        <v>0</v>
      </c>
      <c r="M24" s="504">
        <f t="shared" si="4"/>
        <v>1500</v>
      </c>
      <c r="N24" s="539">
        <f t="shared" si="0"/>
        <v>100</v>
      </c>
    </row>
    <row r="25" spans="2:14" ht="8.1" customHeight="1" x14ac:dyDescent="0.25">
      <c r="B25" s="10"/>
      <c r="C25" s="11"/>
      <c r="D25" s="11"/>
      <c r="E25" s="11"/>
      <c r="F25" s="122"/>
      <c r="G25" s="136"/>
      <c r="H25" s="22"/>
      <c r="I25" s="150"/>
      <c r="J25" s="150"/>
      <c r="K25" s="319"/>
      <c r="L25" s="153"/>
      <c r="M25" s="476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285"/>
      <c r="F26" s="129">
        <v>614000</v>
      </c>
      <c r="G26" s="143"/>
      <c r="H26" s="23" t="s">
        <v>339</v>
      </c>
      <c r="I26" s="150">
        <f t="shared" ref="I26:J26" si="5">SUM(I27:I27)</f>
        <v>300000</v>
      </c>
      <c r="J26" s="150">
        <f t="shared" si="5"/>
        <v>300000</v>
      </c>
      <c r="K26" s="319">
        <f t="shared" ref="K26:L26" si="6">SUM(K27:K27)</f>
        <v>400000</v>
      </c>
      <c r="L26" s="153">
        <f t="shared" si="6"/>
        <v>0</v>
      </c>
      <c r="M26" s="476">
        <f t="shared" ref="M26" si="7">SUM(M27:M27)</f>
        <v>400000</v>
      </c>
      <c r="N26" s="538">
        <f t="shared" si="0"/>
        <v>133.33333333333331</v>
      </c>
    </row>
    <row r="27" spans="2:14" ht="24" customHeight="1" x14ac:dyDescent="0.2">
      <c r="B27" s="10"/>
      <c r="C27" s="11"/>
      <c r="D27" s="22"/>
      <c r="E27" s="22"/>
      <c r="F27" s="147">
        <v>614200</v>
      </c>
      <c r="G27" s="142" t="s">
        <v>359</v>
      </c>
      <c r="H27" s="295" t="s">
        <v>474</v>
      </c>
      <c r="I27" s="151">
        <v>300000</v>
      </c>
      <c r="J27" s="151">
        <v>300000</v>
      </c>
      <c r="K27" s="253">
        <v>400000</v>
      </c>
      <c r="L27" s="151">
        <v>0</v>
      </c>
      <c r="M27" s="504">
        <f>SUM(K27:L27)</f>
        <v>400000</v>
      </c>
      <c r="N27" s="539">
        <f t="shared" si="0"/>
        <v>133.33333333333331</v>
      </c>
    </row>
    <row r="28" spans="2:14" ht="8.1" customHeight="1" x14ac:dyDescent="0.2">
      <c r="B28" s="10"/>
      <c r="C28" s="11"/>
      <c r="D28" s="11"/>
      <c r="E28" s="282"/>
      <c r="F28" s="126"/>
      <c r="G28" s="140"/>
      <c r="H28" s="22"/>
      <c r="I28" s="151"/>
      <c r="J28" s="151"/>
      <c r="K28" s="253"/>
      <c r="L28" s="151"/>
      <c r="M28" s="478"/>
      <c r="N28" s="539" t="str">
        <f t="shared" si="0"/>
        <v/>
      </c>
    </row>
    <row r="29" spans="2:14" s="1" customFormat="1" ht="12.95" customHeight="1" x14ac:dyDescent="0.25">
      <c r="B29" s="12"/>
      <c r="C29" s="8"/>
      <c r="D29" s="8"/>
      <c r="E29" s="8"/>
      <c r="F29" s="121">
        <v>821000</v>
      </c>
      <c r="G29" s="135"/>
      <c r="H29" s="23" t="s">
        <v>427</v>
      </c>
      <c r="I29" s="150">
        <f t="shared" ref="I29:J29" si="8">SUM(I30:I31)</f>
        <v>2000</v>
      </c>
      <c r="J29" s="150">
        <f t="shared" si="8"/>
        <v>2000</v>
      </c>
      <c r="K29" s="319">
        <f t="shared" ref="K29" si="9">SUM(K30:K31)</f>
        <v>2000</v>
      </c>
      <c r="L29" s="153">
        <f>SUM(L30:L31)</f>
        <v>0</v>
      </c>
      <c r="M29" s="476">
        <f>SUM(M30:M31)</f>
        <v>2000</v>
      </c>
      <c r="N29" s="538">
        <f t="shared" si="0"/>
        <v>100</v>
      </c>
    </row>
    <row r="30" spans="2:14" ht="12.95" customHeight="1" x14ac:dyDescent="0.2">
      <c r="B30" s="10"/>
      <c r="C30" s="11"/>
      <c r="D30" s="11"/>
      <c r="E30" s="11"/>
      <c r="F30" s="122">
        <v>821200</v>
      </c>
      <c r="G30" s="136"/>
      <c r="H30" s="22" t="s">
        <v>429</v>
      </c>
      <c r="I30" s="151">
        <v>0</v>
      </c>
      <c r="J30" s="151">
        <v>0</v>
      </c>
      <c r="K30" s="253">
        <v>0</v>
      </c>
      <c r="L30" s="151">
        <v>0</v>
      </c>
      <c r="M30" s="504">
        <f t="shared" ref="M30:M31" si="10">SUM(K30:L30)</f>
        <v>0</v>
      </c>
      <c r="N30" s="539" t="str">
        <f t="shared" si="0"/>
        <v/>
      </c>
    </row>
    <row r="31" spans="2:14" ht="12.95" customHeight="1" x14ac:dyDescent="0.2">
      <c r="B31" s="10"/>
      <c r="C31" s="11"/>
      <c r="D31" s="11"/>
      <c r="E31" s="11"/>
      <c r="F31" s="122">
        <v>821300</v>
      </c>
      <c r="G31" s="136"/>
      <c r="H31" s="22" t="s">
        <v>430</v>
      </c>
      <c r="I31" s="151">
        <v>2000</v>
      </c>
      <c r="J31" s="151">
        <v>2000</v>
      </c>
      <c r="K31" s="253">
        <v>2000</v>
      </c>
      <c r="L31" s="151">
        <v>0</v>
      </c>
      <c r="M31" s="504">
        <f t="shared" si="10"/>
        <v>2000</v>
      </c>
      <c r="N31" s="539">
        <f t="shared" si="0"/>
        <v>100</v>
      </c>
    </row>
    <row r="32" spans="2:14" ht="8.1" customHeight="1" x14ac:dyDescent="0.2">
      <c r="B32" s="10"/>
      <c r="C32" s="11"/>
      <c r="D32" s="11"/>
      <c r="E32" s="11"/>
      <c r="F32" s="122"/>
      <c r="G32" s="136"/>
      <c r="H32" s="22"/>
      <c r="I32" s="151"/>
      <c r="J32" s="151"/>
      <c r="K32" s="253"/>
      <c r="L32" s="151"/>
      <c r="M32" s="478"/>
      <c r="N32" s="539" t="str">
        <f t="shared" si="0"/>
        <v/>
      </c>
    </row>
    <row r="33" spans="1:17" s="1" customFormat="1" ht="12.95" customHeight="1" x14ac:dyDescent="0.25">
      <c r="B33" s="12"/>
      <c r="C33" s="8"/>
      <c r="D33" s="8"/>
      <c r="E33" s="8"/>
      <c r="F33" s="121"/>
      <c r="G33" s="135"/>
      <c r="H33" s="23" t="s">
        <v>441</v>
      </c>
      <c r="I33" s="153">
        <v>4</v>
      </c>
      <c r="J33" s="153">
        <v>4</v>
      </c>
      <c r="K33" s="319">
        <v>4</v>
      </c>
      <c r="L33" s="153"/>
      <c r="M33" s="476">
        <v>4</v>
      </c>
      <c r="N33" s="539"/>
    </row>
    <row r="34" spans="1:17" s="1" customFormat="1" ht="12.95" customHeight="1" x14ac:dyDescent="0.25">
      <c r="B34" s="12"/>
      <c r="C34" s="8"/>
      <c r="D34" s="8"/>
      <c r="E34" s="8"/>
      <c r="F34" s="121"/>
      <c r="G34" s="135"/>
      <c r="H34" s="8" t="s">
        <v>453</v>
      </c>
      <c r="I34" s="14">
        <f>I29+I26+I15+I12+I8</f>
        <v>479440</v>
      </c>
      <c r="J34" s="259">
        <f>J29+J26+J15+J12+J8</f>
        <v>479440</v>
      </c>
      <c r="K34" s="262">
        <f>K29+K26+K15+K12+K8</f>
        <v>581200</v>
      </c>
      <c r="L34" s="14">
        <f>L29+L26+L15+L12+L8</f>
        <v>0</v>
      </c>
      <c r="M34" s="476">
        <f>M29+M26+M15+M12+M8</f>
        <v>581200</v>
      </c>
      <c r="N34" s="538">
        <f>IF(J34=0,"",M34/J34*100)</f>
        <v>121.22476222259301</v>
      </c>
    </row>
    <row r="35" spans="1:17" s="1" customFormat="1" ht="12.95" customHeight="1" x14ac:dyDescent="0.25">
      <c r="B35" s="12"/>
      <c r="C35" s="8"/>
      <c r="D35" s="8"/>
      <c r="E35" s="8"/>
      <c r="F35" s="121"/>
      <c r="G35" s="135"/>
      <c r="H35" s="8" t="s">
        <v>454</v>
      </c>
      <c r="I35" s="14"/>
      <c r="J35" s="259"/>
      <c r="K35" s="262"/>
      <c r="L35" s="14">
        <f>L34+'5'!L31+'4'!L31+'3'!L31+'2'!L52</f>
        <v>0</v>
      </c>
      <c r="M35" s="476"/>
      <c r="N35" s="538" t="str">
        <f>IF(J35=0,"",M35/J35*100)</f>
        <v/>
      </c>
    </row>
    <row r="36" spans="1:17" s="1" customFormat="1" ht="12.95" customHeight="1" x14ac:dyDescent="0.25">
      <c r="B36" s="12"/>
      <c r="C36" s="8"/>
      <c r="D36" s="8"/>
      <c r="E36" s="8"/>
      <c r="F36" s="121"/>
      <c r="G36" s="135"/>
      <c r="H36" s="8" t="s">
        <v>455</v>
      </c>
      <c r="I36" s="281"/>
      <c r="J36" s="500"/>
      <c r="K36" s="512"/>
      <c r="L36" s="281">
        <f t="shared" ref="L36" si="11">L35</f>
        <v>0</v>
      </c>
      <c r="M36" s="513"/>
      <c r="N36" s="538" t="str">
        <f>IF(J36=0,"",M36/J36*100)</f>
        <v/>
      </c>
    </row>
    <row r="37" spans="1:17" ht="8.1" customHeight="1" thickBot="1" x14ac:dyDescent="0.25">
      <c r="B37" s="15"/>
      <c r="C37" s="16"/>
      <c r="D37" s="16"/>
      <c r="E37" s="16"/>
      <c r="F37" s="123"/>
      <c r="G37" s="137"/>
      <c r="H37" s="16"/>
      <c r="I37" s="16"/>
      <c r="J37" s="25"/>
      <c r="K37" s="15"/>
      <c r="L37" s="16"/>
      <c r="M37" s="496"/>
      <c r="N37" s="540"/>
    </row>
    <row r="38" spans="1:17" ht="12.95" customHeight="1" x14ac:dyDescent="0.2">
      <c r="F38" s="124"/>
      <c r="G38" s="138"/>
      <c r="M38" s="161"/>
    </row>
    <row r="39" spans="1:17" ht="12.95" customHeight="1" x14ac:dyDescent="0.2">
      <c r="F39" s="124"/>
      <c r="G39" s="138"/>
      <c r="M39" s="161"/>
    </row>
    <row r="40" spans="1:17" ht="12.95" customHeight="1" x14ac:dyDescent="0.2">
      <c r="F40" s="124"/>
      <c r="G40" s="138"/>
      <c r="M40" s="161"/>
    </row>
    <row r="41" spans="1:17" ht="12.95" customHeight="1" x14ac:dyDescent="0.2">
      <c r="F41" s="124"/>
      <c r="G41" s="138"/>
      <c r="M41" s="161"/>
    </row>
    <row r="42" spans="1:17" ht="12.95" customHeight="1" x14ac:dyDescent="0.2">
      <c r="F42" s="124"/>
      <c r="G42" s="138"/>
      <c r="M42" s="161"/>
    </row>
    <row r="43" spans="1:17" ht="12.95" customHeight="1" x14ac:dyDescent="0.2">
      <c r="F43" s="124"/>
      <c r="G43" s="138"/>
      <c r="M43" s="161"/>
    </row>
    <row r="44" spans="1:17" ht="12.95" customHeight="1" x14ac:dyDescent="0.2">
      <c r="F44" s="124"/>
      <c r="G44" s="138"/>
      <c r="M44" s="161"/>
    </row>
    <row r="45" spans="1:17" ht="12.95" customHeight="1" x14ac:dyDescent="0.2">
      <c r="F45" s="124"/>
      <c r="G45" s="138"/>
      <c r="M45" s="161"/>
    </row>
    <row r="46" spans="1:17" s="145" customFormat="1" ht="12.95" customHeight="1" x14ac:dyDescent="0.2">
      <c r="A46" s="9"/>
      <c r="B46" s="9"/>
      <c r="C46" s="9"/>
      <c r="D46" s="9"/>
      <c r="E46" s="9"/>
      <c r="F46" s="124"/>
      <c r="G46" s="138"/>
      <c r="H46" s="9"/>
      <c r="I46" s="9"/>
      <c r="J46" s="9"/>
      <c r="K46" s="9"/>
      <c r="L46" s="9"/>
      <c r="M46" s="161"/>
      <c r="O46" s="9"/>
      <c r="P46" s="9"/>
      <c r="Q46" s="9"/>
    </row>
    <row r="47" spans="1:17" s="145" customFormat="1" ht="12.95" customHeight="1" x14ac:dyDescent="0.2">
      <c r="A47" s="9"/>
      <c r="B47" s="9"/>
      <c r="C47" s="9"/>
      <c r="D47" s="9"/>
      <c r="E47" s="9"/>
      <c r="F47" s="124"/>
      <c r="G47" s="138"/>
      <c r="H47" s="9"/>
      <c r="I47" s="9"/>
      <c r="J47" s="9"/>
      <c r="K47" s="9"/>
      <c r="L47" s="9"/>
      <c r="M47" s="161"/>
      <c r="O47" s="9"/>
      <c r="P47" s="9"/>
      <c r="Q47" s="9"/>
    </row>
    <row r="48" spans="1:17" s="145" customFormat="1" ht="12.95" customHeight="1" x14ac:dyDescent="0.2">
      <c r="A48" s="9"/>
      <c r="B48" s="9"/>
      <c r="C48" s="9"/>
      <c r="D48" s="9"/>
      <c r="E48" s="9"/>
      <c r="F48" s="124"/>
      <c r="G48" s="138"/>
      <c r="H48" s="9"/>
      <c r="I48" s="9"/>
      <c r="J48" s="9"/>
      <c r="K48" s="9"/>
      <c r="L48" s="9"/>
      <c r="M48" s="161"/>
      <c r="O48" s="9"/>
      <c r="P48" s="9"/>
      <c r="Q48" s="9"/>
    </row>
    <row r="49" spans="1:17" s="145" customFormat="1" ht="12.95" customHeight="1" x14ac:dyDescent="0.2">
      <c r="A49" s="9"/>
      <c r="B49" s="9"/>
      <c r="C49" s="9"/>
      <c r="D49" s="9"/>
      <c r="E49" s="9"/>
      <c r="F49" s="124"/>
      <c r="G49" s="138"/>
      <c r="H49" s="9"/>
      <c r="I49" s="9"/>
      <c r="J49" s="9"/>
      <c r="K49" s="9"/>
      <c r="L49" s="9"/>
      <c r="M49" s="161"/>
      <c r="O49" s="9"/>
      <c r="P49" s="9"/>
      <c r="Q49" s="9"/>
    </row>
    <row r="50" spans="1:17" s="145" customFormat="1" ht="12.95" customHeight="1" x14ac:dyDescent="0.2">
      <c r="A50" s="9"/>
      <c r="B50" s="9"/>
      <c r="C50" s="9"/>
      <c r="D50" s="9"/>
      <c r="E50" s="9"/>
      <c r="F50" s="124"/>
      <c r="G50" s="138"/>
      <c r="H50" s="9"/>
      <c r="I50" s="9"/>
      <c r="J50" s="9"/>
      <c r="K50" s="9"/>
      <c r="L50" s="9"/>
      <c r="M50" s="161"/>
      <c r="O50" s="9"/>
      <c r="P50" s="9"/>
      <c r="Q50" s="9"/>
    </row>
    <row r="51" spans="1:17" s="145" customFormat="1" ht="12.95" customHeight="1" x14ac:dyDescent="0.2">
      <c r="A51" s="9"/>
      <c r="B51" s="9"/>
      <c r="C51" s="9"/>
      <c r="D51" s="9"/>
      <c r="E51" s="9"/>
      <c r="F51" s="124"/>
      <c r="G51" s="138"/>
      <c r="H51" s="9"/>
      <c r="I51" s="9"/>
      <c r="J51" s="9"/>
      <c r="K51" s="9"/>
      <c r="L51" s="9"/>
      <c r="M51" s="161"/>
      <c r="O51" s="9"/>
      <c r="P51" s="9"/>
      <c r="Q51" s="9"/>
    </row>
    <row r="52" spans="1:17" s="145" customFormat="1" ht="12.95" customHeight="1" x14ac:dyDescent="0.2">
      <c r="A52" s="9"/>
      <c r="B52" s="9"/>
      <c r="C52" s="9"/>
      <c r="D52" s="9"/>
      <c r="E52" s="9"/>
      <c r="F52" s="124"/>
      <c r="G52" s="138"/>
      <c r="H52" s="9"/>
      <c r="I52" s="9"/>
      <c r="J52" s="9"/>
      <c r="K52" s="9"/>
      <c r="L52" s="9"/>
      <c r="M52" s="161"/>
      <c r="O52" s="9"/>
      <c r="P52" s="9"/>
      <c r="Q52" s="9"/>
    </row>
    <row r="53" spans="1:17" s="145" customFormat="1" ht="12.95" customHeight="1" x14ac:dyDescent="0.2">
      <c r="A53" s="9"/>
      <c r="B53" s="9"/>
      <c r="C53" s="9"/>
      <c r="D53" s="9"/>
      <c r="E53" s="9"/>
      <c r="F53" s="124"/>
      <c r="G53" s="138"/>
      <c r="H53" s="9"/>
      <c r="I53" s="9"/>
      <c r="J53" s="9"/>
      <c r="K53" s="9"/>
      <c r="L53" s="9"/>
      <c r="M53" s="161"/>
      <c r="O53" s="9"/>
      <c r="P53" s="9"/>
      <c r="Q53" s="9"/>
    </row>
    <row r="54" spans="1:17" s="145" customFormat="1" ht="12.95" customHeight="1" x14ac:dyDescent="0.2">
      <c r="A54" s="9"/>
      <c r="B54" s="9"/>
      <c r="C54" s="9"/>
      <c r="D54" s="9"/>
      <c r="E54" s="9"/>
      <c r="F54" s="124"/>
      <c r="G54" s="138"/>
      <c r="H54" s="9"/>
      <c r="I54" s="9"/>
      <c r="J54" s="9"/>
      <c r="K54" s="9"/>
      <c r="L54" s="9"/>
      <c r="M54" s="161"/>
      <c r="O54" s="9"/>
      <c r="P54" s="9"/>
      <c r="Q54" s="9"/>
    </row>
    <row r="55" spans="1:17" s="145" customFormat="1" ht="12.95" customHeight="1" x14ac:dyDescent="0.2">
      <c r="A55" s="9"/>
      <c r="B55" s="9"/>
      <c r="C55" s="9"/>
      <c r="D55" s="9"/>
      <c r="E55" s="9"/>
      <c r="F55" s="124"/>
      <c r="G55" s="138"/>
      <c r="H55" s="9"/>
      <c r="I55" s="9"/>
      <c r="J55" s="9"/>
      <c r="K55" s="9"/>
      <c r="L55" s="9"/>
      <c r="M55" s="161"/>
      <c r="O55" s="9"/>
      <c r="P55" s="9"/>
      <c r="Q55" s="9"/>
    </row>
    <row r="56" spans="1:17" s="145" customFormat="1" ht="12.95" customHeight="1" x14ac:dyDescent="0.2">
      <c r="A56" s="9"/>
      <c r="B56" s="9"/>
      <c r="C56" s="9"/>
      <c r="D56" s="9"/>
      <c r="E56" s="9"/>
      <c r="F56" s="124"/>
      <c r="G56" s="138"/>
      <c r="H56" s="9"/>
      <c r="I56" s="9"/>
      <c r="J56" s="9"/>
      <c r="K56" s="9"/>
      <c r="L56" s="9"/>
      <c r="M56" s="161"/>
      <c r="O56" s="9"/>
      <c r="P56" s="9"/>
      <c r="Q56" s="9"/>
    </row>
    <row r="57" spans="1:17" s="145" customFormat="1" ht="12.95" customHeight="1" x14ac:dyDescent="0.2">
      <c r="A57" s="9"/>
      <c r="B57" s="9"/>
      <c r="C57" s="9"/>
      <c r="D57" s="9"/>
      <c r="E57" s="9"/>
      <c r="F57" s="124"/>
      <c r="G57" s="138"/>
      <c r="H57" s="9"/>
      <c r="I57" s="9"/>
      <c r="J57" s="9"/>
      <c r="K57" s="9"/>
      <c r="L57" s="9"/>
      <c r="M57" s="161"/>
      <c r="O57" s="9"/>
      <c r="P57" s="9"/>
      <c r="Q57" s="9"/>
    </row>
    <row r="58" spans="1:17" s="145" customFormat="1" ht="17.100000000000001" customHeight="1" x14ac:dyDescent="0.2">
      <c r="A58" s="9"/>
      <c r="B58" s="9"/>
      <c r="C58" s="9"/>
      <c r="D58" s="9"/>
      <c r="E58" s="9"/>
      <c r="F58" s="124"/>
      <c r="G58" s="138"/>
      <c r="H58" s="9"/>
      <c r="I58" s="9"/>
      <c r="J58" s="9"/>
      <c r="K58" s="9"/>
      <c r="L58" s="9"/>
      <c r="M58" s="161"/>
      <c r="O58" s="9"/>
      <c r="P58" s="9"/>
      <c r="Q58" s="9"/>
    </row>
    <row r="59" spans="1:17" s="145" customFormat="1" ht="14.25" x14ac:dyDescent="0.2">
      <c r="A59" s="9"/>
      <c r="B59" s="9"/>
      <c r="C59" s="9"/>
      <c r="D59" s="9"/>
      <c r="E59" s="9"/>
      <c r="F59" s="124"/>
      <c r="G59" s="138"/>
      <c r="H59" s="9"/>
      <c r="I59" s="9"/>
      <c r="J59" s="9"/>
      <c r="K59" s="9"/>
      <c r="L59" s="9"/>
      <c r="M59" s="161"/>
      <c r="O59" s="9"/>
      <c r="P59" s="9"/>
      <c r="Q59" s="9"/>
    </row>
    <row r="60" spans="1:17" s="145" customFormat="1" ht="14.25" x14ac:dyDescent="0.2">
      <c r="A60" s="9"/>
      <c r="B60" s="9"/>
      <c r="C60" s="9"/>
      <c r="D60" s="9"/>
      <c r="E60" s="9"/>
      <c r="F60" s="124"/>
      <c r="G60" s="138"/>
      <c r="H60" s="9"/>
      <c r="I60" s="9"/>
      <c r="J60" s="9"/>
      <c r="K60" s="9"/>
      <c r="L60" s="9"/>
      <c r="M60" s="161"/>
      <c r="O60" s="9"/>
      <c r="P60" s="9"/>
      <c r="Q60" s="9"/>
    </row>
    <row r="61" spans="1:17" s="145" customFormat="1" ht="14.25" x14ac:dyDescent="0.2">
      <c r="A61" s="9"/>
      <c r="B61" s="9"/>
      <c r="C61" s="9"/>
      <c r="D61" s="9"/>
      <c r="E61" s="9"/>
      <c r="F61" s="124"/>
      <c r="G61" s="138"/>
      <c r="H61" s="9"/>
      <c r="I61" s="9"/>
      <c r="J61" s="9"/>
      <c r="K61" s="9"/>
      <c r="L61" s="9"/>
      <c r="M61" s="161"/>
      <c r="O61" s="9"/>
      <c r="P61" s="9"/>
      <c r="Q61" s="9"/>
    </row>
    <row r="62" spans="1:17" s="145" customFormat="1" ht="14.25" x14ac:dyDescent="0.2">
      <c r="A62" s="9"/>
      <c r="B62" s="9"/>
      <c r="C62" s="9"/>
      <c r="D62" s="9"/>
      <c r="E62" s="9"/>
      <c r="F62" s="124"/>
      <c r="G62" s="138"/>
      <c r="H62" s="9"/>
      <c r="I62" s="9"/>
      <c r="J62" s="9"/>
      <c r="K62" s="9"/>
      <c r="L62" s="9"/>
      <c r="M62" s="161"/>
      <c r="O62" s="9"/>
      <c r="P62" s="9"/>
      <c r="Q62" s="9"/>
    </row>
    <row r="63" spans="1:17" s="145" customFormat="1" ht="14.25" x14ac:dyDescent="0.2">
      <c r="A63" s="9"/>
      <c r="B63" s="9"/>
      <c r="C63" s="9"/>
      <c r="D63" s="9"/>
      <c r="E63" s="9"/>
      <c r="F63" s="124"/>
      <c r="G63" s="138"/>
      <c r="H63" s="9"/>
      <c r="I63" s="9"/>
      <c r="J63" s="9"/>
      <c r="K63" s="9"/>
      <c r="L63" s="9"/>
      <c r="M63" s="161"/>
      <c r="O63" s="9"/>
      <c r="P63" s="9"/>
      <c r="Q63" s="9"/>
    </row>
    <row r="64" spans="1:17" s="145" customFormat="1" ht="14.25" x14ac:dyDescent="0.2">
      <c r="A64" s="9"/>
      <c r="B64" s="9"/>
      <c r="C64" s="9"/>
      <c r="D64" s="9"/>
      <c r="E64" s="9"/>
      <c r="F64" s="124"/>
      <c r="G64" s="138"/>
      <c r="H64" s="9"/>
      <c r="I64" s="9"/>
      <c r="J64" s="9"/>
      <c r="K64" s="9"/>
      <c r="L64" s="9"/>
      <c r="M64" s="161"/>
      <c r="O64" s="9"/>
      <c r="P64" s="9"/>
      <c r="Q64" s="9"/>
    </row>
    <row r="65" spans="1:17" s="145" customFormat="1" ht="14.25" x14ac:dyDescent="0.2">
      <c r="A65" s="9"/>
      <c r="B65" s="9"/>
      <c r="C65" s="9"/>
      <c r="D65" s="9"/>
      <c r="E65" s="9"/>
      <c r="F65" s="124"/>
      <c r="G65" s="138"/>
      <c r="H65" s="9"/>
      <c r="I65" s="9"/>
      <c r="J65" s="9"/>
      <c r="K65" s="9"/>
      <c r="L65" s="9"/>
      <c r="M65" s="161"/>
      <c r="O65" s="9"/>
      <c r="P65" s="9"/>
      <c r="Q65" s="9"/>
    </row>
    <row r="66" spans="1:17" s="145" customFormat="1" ht="14.25" x14ac:dyDescent="0.2">
      <c r="A66" s="9"/>
      <c r="B66" s="9"/>
      <c r="C66" s="9"/>
      <c r="D66" s="9"/>
      <c r="E66" s="9"/>
      <c r="F66" s="124"/>
      <c r="G66" s="138"/>
      <c r="H66" s="9"/>
      <c r="I66" s="9"/>
      <c r="J66" s="9"/>
      <c r="K66" s="9"/>
      <c r="L66" s="9"/>
      <c r="M66" s="161"/>
      <c r="O66" s="9"/>
      <c r="P66" s="9"/>
      <c r="Q66" s="9"/>
    </row>
    <row r="67" spans="1:17" s="145" customFormat="1" ht="14.25" x14ac:dyDescent="0.2">
      <c r="A67" s="9"/>
      <c r="B67" s="9"/>
      <c r="C67" s="9"/>
      <c r="D67" s="9"/>
      <c r="E67" s="9"/>
      <c r="F67" s="124"/>
      <c r="G67" s="138"/>
      <c r="H67" s="9"/>
      <c r="I67" s="9"/>
      <c r="J67" s="9"/>
      <c r="K67" s="9"/>
      <c r="L67" s="9"/>
      <c r="M67" s="161"/>
      <c r="O67" s="9"/>
      <c r="P67" s="9"/>
      <c r="Q67" s="9"/>
    </row>
    <row r="68" spans="1:17" s="145" customFormat="1" ht="14.25" x14ac:dyDescent="0.2">
      <c r="A68" s="9"/>
      <c r="B68" s="9"/>
      <c r="C68" s="9"/>
      <c r="D68" s="9"/>
      <c r="E68" s="9"/>
      <c r="F68" s="124"/>
      <c r="G68" s="138"/>
      <c r="H68" s="9"/>
      <c r="I68" s="9"/>
      <c r="J68" s="9"/>
      <c r="K68" s="9"/>
      <c r="L68" s="9"/>
      <c r="M68" s="161"/>
      <c r="O68" s="9"/>
      <c r="P68" s="9"/>
      <c r="Q68" s="9"/>
    </row>
    <row r="69" spans="1:17" s="145" customFormat="1" ht="14.25" x14ac:dyDescent="0.2">
      <c r="A69" s="9"/>
      <c r="B69" s="9"/>
      <c r="C69" s="9"/>
      <c r="D69" s="9"/>
      <c r="E69" s="9"/>
      <c r="F69" s="124"/>
      <c r="G69" s="138"/>
      <c r="H69" s="9"/>
      <c r="I69" s="9"/>
      <c r="J69" s="9"/>
      <c r="K69" s="9"/>
      <c r="L69" s="9"/>
      <c r="M69" s="161"/>
      <c r="O69" s="9"/>
      <c r="P69" s="9"/>
      <c r="Q69" s="9"/>
    </row>
    <row r="70" spans="1:17" s="145" customFormat="1" ht="14.25" x14ac:dyDescent="0.2">
      <c r="A70" s="9"/>
      <c r="B70" s="9"/>
      <c r="C70" s="9"/>
      <c r="D70" s="9"/>
      <c r="E70" s="9"/>
      <c r="F70" s="124"/>
      <c r="G70" s="138"/>
      <c r="H70" s="9"/>
      <c r="I70" s="9"/>
      <c r="J70" s="9"/>
      <c r="K70" s="9"/>
      <c r="L70" s="9"/>
      <c r="M70" s="161"/>
      <c r="O70" s="9"/>
      <c r="P70" s="9"/>
      <c r="Q70" s="9"/>
    </row>
    <row r="71" spans="1:17" s="145" customFormat="1" ht="14.25" x14ac:dyDescent="0.2">
      <c r="A71" s="9"/>
      <c r="B71" s="9"/>
      <c r="C71" s="9"/>
      <c r="D71" s="9"/>
      <c r="E71" s="9"/>
      <c r="F71" s="124"/>
      <c r="G71" s="138"/>
      <c r="H71" s="9"/>
      <c r="I71" s="9"/>
      <c r="J71" s="9"/>
      <c r="K71" s="9"/>
      <c r="L71" s="9"/>
      <c r="M71" s="161"/>
      <c r="O71" s="9"/>
      <c r="P71" s="9"/>
      <c r="Q71" s="9"/>
    </row>
    <row r="72" spans="1:17" s="145" customFormat="1" ht="14.25" x14ac:dyDescent="0.2">
      <c r="A72" s="9"/>
      <c r="B72" s="9"/>
      <c r="C72" s="9"/>
      <c r="D72" s="9"/>
      <c r="E72" s="9"/>
      <c r="F72" s="124"/>
      <c r="G72" s="124"/>
      <c r="H72" s="9"/>
      <c r="I72" s="9"/>
      <c r="J72" s="9"/>
      <c r="K72" s="9"/>
      <c r="L72" s="9"/>
      <c r="M72" s="161"/>
      <c r="O72" s="9"/>
      <c r="P72" s="9"/>
      <c r="Q72" s="9"/>
    </row>
    <row r="73" spans="1:17" s="145" customFormat="1" ht="14.25" x14ac:dyDescent="0.2">
      <c r="A73" s="9"/>
      <c r="B73" s="9"/>
      <c r="C73" s="9"/>
      <c r="D73" s="9"/>
      <c r="E73" s="9"/>
      <c r="F73" s="124"/>
      <c r="G73" s="124"/>
      <c r="H73" s="9"/>
      <c r="I73" s="9"/>
      <c r="J73" s="9"/>
      <c r="K73" s="9"/>
      <c r="L73" s="9"/>
      <c r="M73" s="161"/>
      <c r="O73" s="9"/>
      <c r="P73" s="9"/>
      <c r="Q73" s="9"/>
    </row>
    <row r="74" spans="1:17" s="145" customFormat="1" ht="14.25" x14ac:dyDescent="0.2">
      <c r="A74" s="9"/>
      <c r="B74" s="9"/>
      <c r="C74" s="9"/>
      <c r="D74" s="9"/>
      <c r="E74" s="9"/>
      <c r="F74" s="124"/>
      <c r="G74" s="124"/>
      <c r="H74" s="9"/>
      <c r="I74" s="9"/>
      <c r="J74" s="9"/>
      <c r="K74" s="9"/>
      <c r="L74" s="9"/>
      <c r="M74" s="161"/>
      <c r="O74" s="9"/>
      <c r="P74" s="9"/>
      <c r="Q74" s="9"/>
    </row>
    <row r="75" spans="1:17" s="145" customFormat="1" ht="14.25" x14ac:dyDescent="0.2">
      <c r="A75" s="9"/>
      <c r="B75" s="9"/>
      <c r="C75" s="9"/>
      <c r="D75" s="9"/>
      <c r="E75" s="9"/>
      <c r="F75" s="124"/>
      <c r="G75" s="124"/>
      <c r="H75" s="9"/>
      <c r="I75" s="9"/>
      <c r="J75" s="9"/>
      <c r="K75" s="9"/>
      <c r="L75" s="9"/>
      <c r="M75" s="161"/>
      <c r="O75" s="9"/>
      <c r="P75" s="9"/>
      <c r="Q75" s="9"/>
    </row>
    <row r="76" spans="1:17" s="145" customFormat="1" ht="14.25" x14ac:dyDescent="0.2">
      <c r="A76" s="9"/>
      <c r="B76" s="9"/>
      <c r="C76" s="9"/>
      <c r="D76" s="9"/>
      <c r="E76" s="9"/>
      <c r="F76" s="124"/>
      <c r="G76" s="124"/>
      <c r="H76" s="9"/>
      <c r="I76" s="9"/>
      <c r="J76" s="9"/>
      <c r="K76" s="9"/>
      <c r="L76" s="9"/>
      <c r="M76" s="161"/>
      <c r="O76" s="9"/>
      <c r="P76" s="9"/>
      <c r="Q76" s="9"/>
    </row>
    <row r="77" spans="1:17" s="145" customFormat="1" ht="14.25" x14ac:dyDescent="0.2">
      <c r="A77" s="9"/>
      <c r="B77" s="9"/>
      <c r="C77" s="9"/>
      <c r="D77" s="9"/>
      <c r="E77" s="9"/>
      <c r="F77" s="124"/>
      <c r="G77" s="124"/>
      <c r="H77" s="9"/>
      <c r="I77" s="9"/>
      <c r="J77" s="9"/>
      <c r="K77" s="9"/>
      <c r="L77" s="9"/>
      <c r="M77" s="161"/>
      <c r="O77" s="9"/>
      <c r="P77" s="9"/>
      <c r="Q77" s="9"/>
    </row>
    <row r="78" spans="1:17" s="145" customFormat="1" ht="14.25" x14ac:dyDescent="0.2">
      <c r="A78" s="9"/>
      <c r="B78" s="9"/>
      <c r="C78" s="9"/>
      <c r="D78" s="9"/>
      <c r="E78" s="9"/>
      <c r="F78" s="124"/>
      <c r="G78" s="124"/>
      <c r="H78" s="9"/>
      <c r="I78" s="9"/>
      <c r="J78" s="9"/>
      <c r="K78" s="9"/>
      <c r="L78" s="9"/>
      <c r="M78" s="161"/>
      <c r="O78" s="9"/>
      <c r="P78" s="9"/>
      <c r="Q78" s="9"/>
    </row>
    <row r="79" spans="1:17" s="145" customFormat="1" ht="14.25" x14ac:dyDescent="0.2">
      <c r="A79" s="9"/>
      <c r="B79" s="9"/>
      <c r="C79" s="9"/>
      <c r="D79" s="9"/>
      <c r="E79" s="9"/>
      <c r="F79" s="124"/>
      <c r="G79" s="124"/>
      <c r="H79" s="9"/>
      <c r="I79" s="9"/>
      <c r="J79" s="9"/>
      <c r="K79" s="9"/>
      <c r="L79" s="9"/>
      <c r="M79" s="161"/>
      <c r="O79" s="9"/>
      <c r="P79" s="9"/>
      <c r="Q79" s="9"/>
    </row>
    <row r="80" spans="1:17" s="145" customFormat="1" ht="14.25" x14ac:dyDescent="0.2">
      <c r="A80" s="9"/>
      <c r="B80" s="9"/>
      <c r="C80" s="9"/>
      <c r="D80" s="9"/>
      <c r="E80" s="9"/>
      <c r="F80" s="124"/>
      <c r="G80" s="124"/>
      <c r="H80" s="9"/>
      <c r="I80" s="9"/>
      <c r="J80" s="9"/>
      <c r="K80" s="9"/>
      <c r="L80" s="9"/>
      <c r="M80" s="161"/>
      <c r="O80" s="9"/>
      <c r="P80" s="9"/>
      <c r="Q80" s="9"/>
    </row>
    <row r="81" spans="1:17" s="145" customFormat="1" ht="14.25" x14ac:dyDescent="0.2">
      <c r="A81" s="9"/>
      <c r="B81" s="9"/>
      <c r="C81" s="9"/>
      <c r="D81" s="9"/>
      <c r="E81" s="9"/>
      <c r="F81" s="124"/>
      <c r="G81" s="124"/>
      <c r="H81" s="9"/>
      <c r="I81" s="9"/>
      <c r="J81" s="9"/>
      <c r="K81" s="9"/>
      <c r="L81" s="9"/>
      <c r="M81" s="161"/>
      <c r="O81" s="9"/>
      <c r="P81" s="9"/>
      <c r="Q81" s="9"/>
    </row>
    <row r="82" spans="1:17" s="145" customFormat="1" ht="14.25" x14ac:dyDescent="0.2">
      <c r="A82" s="9"/>
      <c r="B82" s="9"/>
      <c r="C82" s="9"/>
      <c r="D82" s="9"/>
      <c r="E82" s="9"/>
      <c r="F82" s="124"/>
      <c r="G82" s="124"/>
      <c r="H82" s="9"/>
      <c r="I82" s="9"/>
      <c r="J82" s="9"/>
      <c r="K82" s="9"/>
      <c r="L82" s="9"/>
      <c r="M82" s="161"/>
      <c r="O82" s="9"/>
      <c r="P82" s="9"/>
      <c r="Q82" s="9"/>
    </row>
    <row r="83" spans="1:17" s="145" customFormat="1" ht="14.25" x14ac:dyDescent="0.2">
      <c r="A83" s="9"/>
      <c r="B83" s="9"/>
      <c r="C83" s="9"/>
      <c r="D83" s="9"/>
      <c r="E83" s="9"/>
      <c r="F83" s="124"/>
      <c r="G83" s="124"/>
      <c r="H83" s="9"/>
      <c r="I83" s="9"/>
      <c r="J83" s="9"/>
      <c r="K83" s="9"/>
      <c r="L83" s="9"/>
      <c r="M83" s="161"/>
      <c r="O83" s="9"/>
      <c r="P83" s="9"/>
      <c r="Q83" s="9"/>
    </row>
    <row r="84" spans="1:17" s="145" customFormat="1" ht="14.25" x14ac:dyDescent="0.2">
      <c r="A84" s="9"/>
      <c r="B84" s="9"/>
      <c r="C84" s="9"/>
      <c r="D84" s="9"/>
      <c r="E84" s="9"/>
      <c r="F84" s="124"/>
      <c r="G84" s="124"/>
      <c r="H84" s="9"/>
      <c r="I84" s="9"/>
      <c r="J84" s="9"/>
      <c r="K84" s="9"/>
      <c r="L84" s="9"/>
      <c r="M84" s="161"/>
      <c r="O84" s="9"/>
      <c r="P84" s="9"/>
      <c r="Q84" s="9"/>
    </row>
    <row r="85" spans="1:17" s="145" customFormat="1" ht="14.25" x14ac:dyDescent="0.2">
      <c r="A85" s="9"/>
      <c r="B85" s="9"/>
      <c r="C85" s="9"/>
      <c r="D85" s="9"/>
      <c r="E85" s="9"/>
      <c r="F85" s="124"/>
      <c r="G85" s="124"/>
      <c r="H85" s="9"/>
      <c r="I85" s="9"/>
      <c r="J85" s="9"/>
      <c r="K85" s="9"/>
      <c r="L85" s="9"/>
      <c r="M85" s="161"/>
      <c r="O85" s="9"/>
      <c r="P85" s="9"/>
      <c r="Q85" s="9"/>
    </row>
    <row r="86" spans="1:17" s="145" customFormat="1" ht="14.25" x14ac:dyDescent="0.2">
      <c r="A86" s="9"/>
      <c r="B86" s="9"/>
      <c r="C86" s="9"/>
      <c r="D86" s="9"/>
      <c r="E86" s="9"/>
      <c r="F86" s="124"/>
      <c r="G86" s="124"/>
      <c r="H86" s="9"/>
      <c r="I86" s="9"/>
      <c r="J86" s="9"/>
      <c r="K86" s="9"/>
      <c r="L86" s="9"/>
      <c r="M86" s="161"/>
      <c r="O86" s="9"/>
      <c r="P86" s="9"/>
      <c r="Q86" s="9"/>
    </row>
    <row r="87" spans="1:17" s="145" customFormat="1" ht="14.25" x14ac:dyDescent="0.2">
      <c r="A87" s="9"/>
      <c r="B87" s="9"/>
      <c r="C87" s="9"/>
      <c r="D87" s="9"/>
      <c r="E87" s="9"/>
      <c r="F87" s="124"/>
      <c r="G87" s="124"/>
      <c r="H87" s="9"/>
      <c r="I87" s="9"/>
      <c r="J87" s="9"/>
      <c r="K87" s="9"/>
      <c r="L87" s="9"/>
      <c r="M87" s="161"/>
      <c r="O87" s="9"/>
      <c r="P87" s="9"/>
      <c r="Q87" s="9"/>
    </row>
    <row r="88" spans="1:17" s="145" customFormat="1" ht="14.25" x14ac:dyDescent="0.2">
      <c r="A88" s="9"/>
      <c r="B88" s="9"/>
      <c r="C88" s="9"/>
      <c r="D88" s="9"/>
      <c r="E88" s="9"/>
      <c r="F88" s="124"/>
      <c r="G88" s="124"/>
      <c r="H88" s="9"/>
      <c r="I88" s="9"/>
      <c r="J88" s="9"/>
      <c r="K88" s="9"/>
      <c r="L88" s="9"/>
      <c r="M88" s="161"/>
      <c r="O88" s="9"/>
      <c r="P88" s="9"/>
      <c r="Q88" s="9"/>
    </row>
    <row r="89" spans="1:17" s="145" customFormat="1" x14ac:dyDescent="0.2">
      <c r="A89" s="9"/>
      <c r="B89" s="9"/>
      <c r="C89" s="9"/>
      <c r="D89" s="9"/>
      <c r="E89" s="9"/>
      <c r="F89" s="17"/>
      <c r="G89" s="124"/>
      <c r="H89" s="9"/>
      <c r="I89" s="9"/>
      <c r="J89" s="9"/>
      <c r="K89" s="9"/>
      <c r="L89" s="9"/>
      <c r="M89" s="9"/>
      <c r="O89" s="9"/>
      <c r="P89" s="9"/>
      <c r="Q89" s="9"/>
    </row>
    <row r="90" spans="1:17" s="145" customFormat="1" x14ac:dyDescent="0.2">
      <c r="A90" s="9"/>
      <c r="B90" s="9"/>
      <c r="C90" s="9"/>
      <c r="D90" s="9"/>
      <c r="E90" s="9"/>
      <c r="F90" s="17"/>
      <c r="G90" s="124"/>
      <c r="H90" s="9"/>
      <c r="I90" s="9"/>
      <c r="J90" s="9"/>
      <c r="K90" s="9"/>
      <c r="L90" s="9"/>
      <c r="M90" s="9"/>
      <c r="O90" s="9"/>
      <c r="P90" s="9"/>
      <c r="Q90" s="9"/>
    </row>
    <row r="91" spans="1:17" s="145" customFormat="1" x14ac:dyDescent="0.2">
      <c r="A91" s="9"/>
      <c r="B91" s="9"/>
      <c r="C91" s="9"/>
      <c r="D91" s="9"/>
      <c r="E91" s="9"/>
      <c r="F91" s="17"/>
      <c r="G91" s="124"/>
      <c r="H91" s="9"/>
      <c r="I91" s="9"/>
      <c r="J91" s="9"/>
      <c r="K91" s="9"/>
      <c r="L91" s="9"/>
      <c r="M91" s="9"/>
      <c r="O91" s="9"/>
      <c r="P91" s="9"/>
      <c r="Q91" s="9"/>
    </row>
    <row r="92" spans="1:17" s="145" customFormat="1" x14ac:dyDescent="0.2">
      <c r="A92" s="9"/>
      <c r="B92" s="9"/>
      <c r="C92" s="9"/>
      <c r="D92" s="9"/>
      <c r="E92" s="9"/>
      <c r="F92" s="17"/>
      <c r="G92" s="124"/>
      <c r="H92" s="9"/>
      <c r="I92" s="9"/>
      <c r="J92" s="9"/>
      <c r="K92" s="9"/>
      <c r="L92" s="9"/>
      <c r="M92" s="9"/>
      <c r="O92" s="9"/>
      <c r="P92" s="9"/>
      <c r="Q92" s="9"/>
    </row>
    <row r="93" spans="1:17" s="145" customFormat="1" x14ac:dyDescent="0.2">
      <c r="A93" s="9"/>
      <c r="B93" s="9"/>
      <c r="C93" s="9"/>
      <c r="D93" s="9"/>
      <c r="E93" s="9"/>
      <c r="F93" s="17"/>
      <c r="G93" s="124"/>
      <c r="H93" s="9"/>
      <c r="I93" s="9"/>
      <c r="J93" s="9"/>
      <c r="K93" s="9"/>
      <c r="L93" s="9"/>
      <c r="M93" s="9"/>
      <c r="O93" s="9"/>
      <c r="P93" s="9"/>
      <c r="Q93" s="9"/>
    </row>
    <row r="94" spans="1:17" x14ac:dyDescent="0.2">
      <c r="G94" s="124"/>
    </row>
  </sheetData>
  <mergeCells count="13">
    <mergeCell ref="B2:N2"/>
    <mergeCell ref="K4:M4"/>
    <mergeCell ref="N4:N5"/>
    <mergeCell ref="H3:I3"/>
    <mergeCell ref="B4:B5"/>
    <mergeCell ref="C4:C5"/>
    <mergeCell ref="D4:D5"/>
    <mergeCell ref="F4:F5"/>
    <mergeCell ref="G4:G5"/>
    <mergeCell ref="H4:H5"/>
    <mergeCell ref="I4:I5"/>
    <mergeCell ref="J4:J5"/>
    <mergeCell ref="E4:E5"/>
  </mergeCells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7A954-8F1B-4B61-AE30-88B0B4288F4E}">
  <dimension ref="B1:O94"/>
  <sheetViews>
    <sheetView topLeftCell="B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5" ht="13.5" thickBot="1" x14ac:dyDescent="0.25"/>
    <row r="2" spans="2:15" s="64" customFormat="1" ht="20.100000000000001" customHeight="1" thickTop="1" thickBot="1" x14ac:dyDescent="0.25">
      <c r="B2" s="649" t="s">
        <v>825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5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5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5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5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5" s="2" customFormat="1" ht="12.95" customHeight="1" x14ac:dyDescent="0.25">
      <c r="B7" s="6" t="s">
        <v>457</v>
      </c>
      <c r="C7" s="7" t="s">
        <v>451</v>
      </c>
      <c r="D7" s="7" t="s">
        <v>551</v>
      </c>
      <c r="E7" s="286" t="s">
        <v>605</v>
      </c>
      <c r="F7" s="5"/>
      <c r="G7" s="5"/>
      <c r="H7" s="5"/>
      <c r="I7" s="258"/>
      <c r="J7" s="268"/>
      <c r="K7" s="4"/>
      <c r="L7" s="5"/>
      <c r="M7" s="502"/>
      <c r="N7" s="537"/>
    </row>
    <row r="8" spans="2:15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0</v>
      </c>
      <c r="J8" s="150">
        <f>SUM(J9:J11)</f>
        <v>0</v>
      </c>
      <c r="K8" s="319">
        <f>SUM(K9:K11)</f>
        <v>70500</v>
      </c>
      <c r="L8" s="266">
        <f>SUM(L9:L11)</f>
        <v>0</v>
      </c>
      <c r="M8" s="503">
        <f>SUM(M9:M11)</f>
        <v>70500</v>
      </c>
      <c r="N8" s="538" t="str">
        <f t="shared" ref="N8:N29" si="0">IF(J8=0,"",M8/J8*100)</f>
        <v/>
      </c>
    </row>
    <row r="9" spans="2:15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267">
        <v>0</v>
      </c>
      <c r="J9" s="267">
        <v>0</v>
      </c>
      <c r="K9" s="253">
        <f>3400*12+1000+18900</f>
        <v>60700</v>
      </c>
      <c r="L9" s="267">
        <v>0</v>
      </c>
      <c r="M9" s="504">
        <f>SUM(K9:L9)</f>
        <v>60700</v>
      </c>
      <c r="N9" s="539" t="str">
        <f t="shared" si="0"/>
        <v/>
      </c>
      <c r="O9" s="44"/>
    </row>
    <row r="10" spans="2:15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267">
        <v>0</v>
      </c>
      <c r="J10" s="267">
        <v>0</v>
      </c>
      <c r="K10" s="253">
        <f>5500+4300</f>
        <v>9800</v>
      </c>
      <c r="L10" s="267">
        <v>0</v>
      </c>
      <c r="M10" s="504">
        <f t="shared" ref="M10" si="1">SUM(K10:L10)</f>
        <v>9800</v>
      </c>
      <c r="N10" s="539" t="str">
        <f t="shared" si="0"/>
        <v/>
      </c>
      <c r="O10" s="44"/>
    </row>
    <row r="11" spans="2:15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267"/>
      <c r="M11" s="504"/>
      <c r="N11" s="539" t="str">
        <f t="shared" si="0"/>
        <v/>
      </c>
    </row>
    <row r="12" spans="2:15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>I13</f>
        <v>0</v>
      </c>
      <c r="J12" s="150">
        <f>J13</f>
        <v>0</v>
      </c>
      <c r="K12" s="319">
        <f>K13</f>
        <v>2720</v>
      </c>
      <c r="L12" s="266">
        <f>L13</f>
        <v>0</v>
      </c>
      <c r="M12" s="503">
        <f>M13</f>
        <v>2720</v>
      </c>
      <c r="N12" s="538" t="str">
        <f t="shared" si="0"/>
        <v/>
      </c>
    </row>
    <row r="13" spans="2:15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v>0</v>
      </c>
      <c r="J13" s="151">
        <v>0</v>
      </c>
      <c r="K13" s="253">
        <f>500+120+2100</f>
        <v>2720</v>
      </c>
      <c r="L13" s="267">
        <v>0</v>
      </c>
      <c r="M13" s="504">
        <f>SUM(K13:L13)</f>
        <v>2720</v>
      </c>
      <c r="N13" s="539" t="str">
        <f t="shared" si="0"/>
        <v/>
      </c>
    </row>
    <row r="14" spans="2:15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5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0</v>
      </c>
      <c r="J15" s="150">
        <f>SUM(J16:J24)</f>
        <v>0</v>
      </c>
      <c r="K15" s="320">
        <f>SUM(K16:K24)</f>
        <v>4100</v>
      </c>
      <c r="L15" s="155">
        <f>SUM(L16:L24)</f>
        <v>0</v>
      </c>
      <c r="M15" s="476">
        <f>SUM(M16:M24)</f>
        <v>4100</v>
      </c>
      <c r="N15" s="538" t="str">
        <f t="shared" si="0"/>
        <v/>
      </c>
    </row>
    <row r="16" spans="2:15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0</v>
      </c>
      <c r="J16" s="151">
        <v>0</v>
      </c>
      <c r="K16" s="253">
        <v>1000</v>
      </c>
      <c r="L16" s="151">
        <v>0</v>
      </c>
      <c r="M16" s="504">
        <f t="shared" ref="M16:M24" si="2">SUM(K16:L16)</f>
        <v>1000</v>
      </c>
      <c r="N16" s="539" t="str">
        <f t="shared" si="0"/>
        <v/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2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0</v>
      </c>
      <c r="J18" s="151">
        <v>0</v>
      </c>
      <c r="K18" s="253">
        <v>600</v>
      </c>
      <c r="L18" s="151">
        <v>0</v>
      </c>
      <c r="M18" s="504">
        <f t="shared" si="2"/>
        <v>600</v>
      </c>
      <c r="N18" s="539" t="str">
        <f t="shared" si="0"/>
        <v/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0</v>
      </c>
      <c r="J19" s="151">
        <v>0</v>
      </c>
      <c r="K19" s="253">
        <v>1000</v>
      </c>
      <c r="L19" s="151">
        <v>0</v>
      </c>
      <c r="M19" s="504">
        <f t="shared" si="2"/>
        <v>1000</v>
      </c>
      <c r="N19" s="539" t="str">
        <f t="shared" si="0"/>
        <v/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2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2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0</v>
      </c>
      <c r="J22" s="151">
        <v>0</v>
      </c>
      <c r="K22" s="253">
        <v>500</v>
      </c>
      <c r="L22" s="151">
        <v>0</v>
      </c>
      <c r="M22" s="504">
        <f t="shared" si="2"/>
        <v>500</v>
      </c>
      <c r="N22" s="539" t="str">
        <f t="shared" si="0"/>
        <v/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2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0</v>
      </c>
      <c r="J24" s="151">
        <v>0</v>
      </c>
      <c r="K24" s="253">
        <v>1000</v>
      </c>
      <c r="L24" s="151">
        <v>0</v>
      </c>
      <c r="M24" s="504">
        <f t="shared" si="2"/>
        <v>1000</v>
      </c>
      <c r="N24" s="539" t="str">
        <f t="shared" si="0"/>
        <v/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0">
        <f>SUM(I27:I28)</f>
        <v>0</v>
      </c>
      <c r="J26" s="150">
        <f>SUM(J27:J28)</f>
        <v>0</v>
      </c>
      <c r="K26" s="319">
        <f>SUM(K27:K28)</f>
        <v>5000</v>
      </c>
      <c r="L26" s="153">
        <f>SUM(L27:L28)</f>
        <v>0</v>
      </c>
      <c r="M26" s="476">
        <f>SUM(M27:M28)</f>
        <v>5000</v>
      </c>
      <c r="N26" s="538" t="str">
        <f t="shared" si="0"/>
        <v/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3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0</v>
      </c>
      <c r="J28" s="151">
        <v>0</v>
      </c>
      <c r="K28" s="253">
        <v>5000</v>
      </c>
      <c r="L28" s="151">
        <v>0</v>
      </c>
      <c r="M28" s="504">
        <f t="shared" si="3"/>
        <v>5000</v>
      </c>
      <c r="N28" s="539" t="str">
        <f t="shared" si="0"/>
        <v/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1"/>
      <c r="J29" s="151"/>
      <c r="K29" s="253"/>
      <c r="L29" s="151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49">
        <v>0</v>
      </c>
      <c r="J30" s="249">
        <v>0</v>
      </c>
      <c r="K30" s="321">
        <v>2</v>
      </c>
      <c r="L30" s="269"/>
      <c r="M30" s="471">
        <v>2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0</v>
      </c>
      <c r="J31" s="14">
        <f>J8+J12+J15+J26</f>
        <v>0</v>
      </c>
      <c r="K31" s="262">
        <f>K8+K12+K15+K26</f>
        <v>82320</v>
      </c>
      <c r="L31" s="14">
        <f>L8+L12+L15+L26</f>
        <v>0</v>
      </c>
      <c r="M31" s="476">
        <f>M8+M12+M15+M26</f>
        <v>82320</v>
      </c>
      <c r="N31" s="538" t="str">
        <f>IF(J31=0,"",M31/J31*100)</f>
        <v/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>'2'!I52+'3'!I31+'4'!I31+'5'!I31+'6'!I34+'7N'!I31</f>
        <v>4358750</v>
      </c>
      <c r="J32" s="14">
        <f>'2'!J52+'3'!J31+'4'!J31+'5'!J31+'6'!J34+'7N'!J31</f>
        <v>4358750</v>
      </c>
      <c r="K32" s="262">
        <f>'2'!K52+'3'!K31+'4'!K31+'5'!K31+'6'!K34+'7N'!K31</f>
        <v>4473680</v>
      </c>
      <c r="L32" s="14">
        <f>'2'!L52+'3'!L31+'4'!L31+'5'!L31+'6'!L34+'7N'!L31</f>
        <v>0</v>
      </c>
      <c r="M32" s="476">
        <f>'2'!M52+'3'!M31+'4'!M31+'5'!M31+'6'!M34+'7N'!M31</f>
        <v>4473680</v>
      </c>
      <c r="N32" s="538">
        <f>IF(J32=0,"",M32/J32*100)</f>
        <v>102.63676512761685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>'2'!I53+'3'!I32+'4'!I32+'5'!I32+'6'!I35+'7N'!I32</f>
        <v>4358750</v>
      </c>
      <c r="J33" s="14">
        <f>'2'!J53+'3'!J32+'4'!J32+'5'!J32+'6'!J35+'7N'!J32</f>
        <v>4358750</v>
      </c>
      <c r="K33" s="262">
        <f>'2'!K53+'3'!K32+'4'!K32+'5'!K32+'6'!K35+'7N'!K32</f>
        <v>4473680</v>
      </c>
      <c r="L33" s="14">
        <f>'2'!L53+'3'!L32+'4'!L32+'5'!L32+'6'!L35+'7N'!L32</f>
        <v>0</v>
      </c>
      <c r="M33" s="476">
        <f>'2'!M53+'3'!M32+'4'!M32+'5'!M32+'6'!M35+'7N'!M32</f>
        <v>4473680</v>
      </c>
      <c r="N33" s="538">
        <f>IF(J33=0,"",M33/J33*100)</f>
        <v>102.63676512761685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K35" s="543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J4:J5"/>
    <mergeCell ref="K4:M4"/>
    <mergeCell ref="N4:N5"/>
    <mergeCell ref="B2:N2"/>
    <mergeCell ref="H3:I3"/>
    <mergeCell ref="B4:B5"/>
    <mergeCell ref="C4:C5"/>
    <mergeCell ref="D4:D5"/>
    <mergeCell ref="E4:E5"/>
    <mergeCell ref="F4:F5"/>
    <mergeCell ref="G4:G5"/>
    <mergeCell ref="H4:H5"/>
    <mergeCell ref="I4:I5"/>
  </mergeCells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1"/>
  <dimension ref="B1:Q94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7" ht="13.5" thickBot="1" x14ac:dyDescent="0.25"/>
    <row r="2" spans="2:17" s="64" customFormat="1" ht="20.100000000000001" customHeight="1" thickTop="1" thickBot="1" x14ac:dyDescent="0.25">
      <c r="B2" s="649" t="s">
        <v>475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7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7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7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7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7" s="2" customFormat="1" ht="12.95" customHeight="1" x14ac:dyDescent="0.25">
      <c r="B7" s="6" t="s">
        <v>476</v>
      </c>
      <c r="C7" s="7" t="s">
        <v>451</v>
      </c>
      <c r="D7" s="7" t="s">
        <v>452</v>
      </c>
      <c r="E7" s="286" t="s">
        <v>609</v>
      </c>
      <c r="F7" s="5"/>
      <c r="G7" s="5"/>
      <c r="H7" s="5"/>
      <c r="I7" s="5"/>
      <c r="J7" s="5"/>
      <c r="K7" s="4"/>
      <c r="L7" s="5"/>
      <c r="M7" s="502"/>
      <c r="N7" s="537"/>
    </row>
    <row r="8" spans="2:17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555650</v>
      </c>
      <c r="J8" s="150">
        <f>SUM(J9:J11)</f>
        <v>555650</v>
      </c>
      <c r="K8" s="319">
        <f>SUM(K9:K11)</f>
        <v>611190</v>
      </c>
      <c r="L8" s="153">
        <f>SUM(L9:L11)</f>
        <v>0</v>
      </c>
      <c r="M8" s="503">
        <f>SUM(M9:M11)</f>
        <v>611190</v>
      </c>
      <c r="N8" s="538">
        <f t="shared" ref="N8:N29" si="0">IF(J8=0,"",M8/J8*100)</f>
        <v>109.99550076486997</v>
      </c>
    </row>
    <row r="9" spans="2:17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432200+2*800+1200</f>
        <v>435000</v>
      </c>
      <c r="J9" s="151">
        <f>432200+2*800+1200</f>
        <v>435000</v>
      </c>
      <c r="K9" s="253">
        <f>462500+630+12*1000+9*2100+11560</f>
        <v>505590</v>
      </c>
      <c r="L9" s="151">
        <v>0</v>
      </c>
      <c r="M9" s="504">
        <f>SUM(K9:L9)</f>
        <v>505590</v>
      </c>
      <c r="N9" s="539">
        <f t="shared" si="0"/>
        <v>116.22758620689655</v>
      </c>
    </row>
    <row r="10" spans="2:17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103450+2*1400+5600+400+21*400</f>
        <v>120650</v>
      </c>
      <c r="J10" s="151">
        <f>103450+2*1400+5600+400+21*400</f>
        <v>120650</v>
      </c>
      <c r="K10" s="253">
        <f>99900+1400+4300</f>
        <v>105600</v>
      </c>
      <c r="L10" s="151">
        <v>0</v>
      </c>
      <c r="M10" s="504">
        <f t="shared" ref="M10" si="1">SUM(K10:L10)</f>
        <v>105600</v>
      </c>
      <c r="N10" s="539">
        <f t="shared" si="0"/>
        <v>87.525901367592212</v>
      </c>
    </row>
    <row r="11" spans="2:17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7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 t="shared" ref="I12:J12" si="2">I13</f>
        <v>47890</v>
      </c>
      <c r="J12" s="150">
        <f t="shared" si="2"/>
        <v>47890</v>
      </c>
      <c r="K12" s="319">
        <f>K13</f>
        <v>53880</v>
      </c>
      <c r="L12" s="153">
        <f>L13</f>
        <v>0</v>
      </c>
      <c r="M12" s="503">
        <f>M13</f>
        <v>53880</v>
      </c>
      <c r="N12" s="538">
        <f t="shared" si="0"/>
        <v>112.50783044476927</v>
      </c>
      <c r="P12" s="46"/>
      <c r="Q12" s="46"/>
    </row>
    <row r="13" spans="2:17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47050+2*220+400</f>
        <v>47890</v>
      </c>
      <c r="J13" s="151">
        <f>47050+2*220+400</f>
        <v>47890</v>
      </c>
      <c r="K13" s="253">
        <f>48890+230+12*110+9*240+1280</f>
        <v>53880</v>
      </c>
      <c r="L13" s="151">
        <v>0</v>
      </c>
      <c r="M13" s="504">
        <f>SUM(K13:L13)</f>
        <v>53880</v>
      </c>
      <c r="N13" s="539">
        <f t="shared" si="0"/>
        <v>112.50783044476927</v>
      </c>
    </row>
    <row r="14" spans="2:17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7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442000</v>
      </c>
      <c r="J15" s="150">
        <f>SUM(J16:J24)</f>
        <v>442000</v>
      </c>
      <c r="K15" s="320">
        <f>SUM(K16:K24)</f>
        <v>460000</v>
      </c>
      <c r="L15" s="155">
        <f>SUM(L16:L24)</f>
        <v>0</v>
      </c>
      <c r="M15" s="476">
        <f>SUM(M16:M24)</f>
        <v>460000</v>
      </c>
      <c r="N15" s="538">
        <f t="shared" si="0"/>
        <v>104.07239819004526</v>
      </c>
    </row>
    <row r="16" spans="2:17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7000</v>
      </c>
      <c r="J16" s="151">
        <v>7000</v>
      </c>
      <c r="K16" s="253">
        <v>10000</v>
      </c>
      <c r="L16" s="151">
        <v>0</v>
      </c>
      <c r="M16" s="504">
        <f t="shared" ref="M16:M24" si="3">SUM(K16:L16)</f>
        <v>10000</v>
      </c>
      <c r="N16" s="539">
        <f t="shared" si="0"/>
        <v>142.85714285714286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80000</v>
      </c>
      <c r="J17" s="151">
        <v>80000</v>
      </c>
      <c r="K17" s="253">
        <v>80000</v>
      </c>
      <c r="L17" s="151">
        <v>0</v>
      </c>
      <c r="M17" s="504">
        <f t="shared" si="3"/>
        <v>80000</v>
      </c>
      <c r="N17" s="539">
        <f t="shared" si="0"/>
        <v>100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50000</v>
      </c>
      <c r="J18" s="151">
        <v>50000</v>
      </c>
      <c r="K18" s="253">
        <v>50000</v>
      </c>
      <c r="L18" s="151">
        <v>0</v>
      </c>
      <c r="M18" s="504">
        <f t="shared" si="3"/>
        <v>50000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105000</v>
      </c>
      <c r="J19" s="151">
        <v>105000</v>
      </c>
      <c r="K19" s="253">
        <v>105000</v>
      </c>
      <c r="L19" s="151">
        <v>0</v>
      </c>
      <c r="M19" s="504">
        <f t="shared" si="3"/>
        <v>105000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80000</v>
      </c>
      <c r="J20" s="151">
        <v>80000</v>
      </c>
      <c r="K20" s="253">
        <v>80000</v>
      </c>
      <c r="L20" s="151">
        <v>0</v>
      </c>
      <c r="M20" s="504">
        <f t="shared" si="3"/>
        <v>80000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40000</v>
      </c>
      <c r="J22" s="151">
        <v>40000</v>
      </c>
      <c r="K22" s="253">
        <v>40000</v>
      </c>
      <c r="L22" s="151">
        <v>0</v>
      </c>
      <c r="M22" s="504">
        <f t="shared" si="3"/>
        <v>40000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10000</v>
      </c>
      <c r="J23" s="151">
        <v>10000</v>
      </c>
      <c r="K23" s="253">
        <v>15000</v>
      </c>
      <c r="L23" s="151">
        <v>0</v>
      </c>
      <c r="M23" s="504">
        <f t="shared" si="3"/>
        <v>15000</v>
      </c>
      <c r="N23" s="539">
        <f t="shared" si="0"/>
        <v>150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70000</v>
      </c>
      <c r="J24" s="151">
        <v>70000</v>
      </c>
      <c r="K24" s="253">
        <v>80000</v>
      </c>
      <c r="L24" s="151">
        <v>0</v>
      </c>
      <c r="M24" s="504">
        <f t="shared" si="3"/>
        <v>80000</v>
      </c>
      <c r="N24" s="539">
        <f t="shared" si="0"/>
        <v>114.28571428571428</v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0">
        <f t="shared" ref="I26:J26" si="4">SUM(I27:I28)</f>
        <v>21000</v>
      </c>
      <c r="J26" s="150">
        <f t="shared" si="4"/>
        <v>21000</v>
      </c>
      <c r="K26" s="319">
        <f>SUM(K27:K28)</f>
        <v>80000</v>
      </c>
      <c r="L26" s="153">
        <f>SUM(L27:L28)</f>
        <v>0</v>
      </c>
      <c r="M26" s="476">
        <f>SUM(M27:M28)</f>
        <v>80000</v>
      </c>
      <c r="N26" s="538">
        <f t="shared" si="0"/>
        <v>380.95238095238091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21000</v>
      </c>
      <c r="J28" s="151">
        <v>21000</v>
      </c>
      <c r="K28" s="253">
        <v>80000</v>
      </c>
      <c r="L28" s="151">
        <v>0</v>
      </c>
      <c r="M28" s="504">
        <f t="shared" si="5"/>
        <v>80000</v>
      </c>
      <c r="N28" s="539">
        <f t="shared" si="0"/>
        <v>380.95238095238091</v>
      </c>
    </row>
    <row r="29" spans="2:14" ht="12.95" customHeight="1" x14ac:dyDescent="0.25">
      <c r="B29" s="10"/>
      <c r="C29" s="11"/>
      <c r="D29" s="11"/>
      <c r="E29" s="11"/>
      <c r="F29" s="122"/>
      <c r="G29" s="136"/>
      <c r="H29" s="22"/>
      <c r="I29" s="150"/>
      <c r="J29" s="150"/>
      <c r="K29" s="319"/>
      <c r="L29" s="153"/>
      <c r="M29" s="476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0">
        <v>21</v>
      </c>
      <c r="J30" s="150">
        <v>21</v>
      </c>
      <c r="K30" s="319">
        <v>22</v>
      </c>
      <c r="L30" s="153"/>
      <c r="M30" s="476">
        <v>22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1066540</v>
      </c>
      <c r="J31" s="14">
        <f>J8+J12+J15+J26</f>
        <v>1066540</v>
      </c>
      <c r="K31" s="262">
        <f>K8+K12+K15+K26</f>
        <v>1205070</v>
      </c>
      <c r="L31" s="14">
        <f>L8+L12+L15+L26</f>
        <v>0</v>
      </c>
      <c r="M31" s="476">
        <f>M8+M12+M15+M26</f>
        <v>1205070</v>
      </c>
      <c r="N31" s="538">
        <f>IF(J31=0,"",M31/J31*100)</f>
        <v>112.98872991167701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 t="shared" ref="I32:J33" si="6">I31</f>
        <v>1066540</v>
      </c>
      <c r="J32" s="14">
        <f t="shared" si="6"/>
        <v>1066540</v>
      </c>
      <c r="K32" s="262">
        <f t="shared" ref="K32:M33" si="7">K31</f>
        <v>1205070</v>
      </c>
      <c r="L32" s="14">
        <f t="shared" si="7"/>
        <v>0</v>
      </c>
      <c r="M32" s="476">
        <f t="shared" si="7"/>
        <v>1205070</v>
      </c>
      <c r="N32" s="538">
        <f>IF(J32=0,"",M32/J32*100)</f>
        <v>112.98872991167701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si="6"/>
        <v>1066540</v>
      </c>
      <c r="J33" s="14">
        <f t="shared" si="6"/>
        <v>1066540</v>
      </c>
      <c r="K33" s="262">
        <f t="shared" si="7"/>
        <v>1205070</v>
      </c>
      <c r="L33" s="14">
        <f t="shared" si="7"/>
        <v>0</v>
      </c>
      <c r="M33" s="476">
        <f t="shared" si="7"/>
        <v>1205070</v>
      </c>
      <c r="N33" s="538">
        <f>IF(J33=0,"",M33/J33*100)</f>
        <v>112.98872991167701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K35" s="277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2"/>
  <dimension ref="B1:P96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5" width="9.140625" style="9"/>
    <col min="16" max="16" width="9.5703125" style="9" bestFit="1" customWidth="1"/>
    <col min="17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477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478</v>
      </c>
      <c r="C7" s="7" t="s">
        <v>451</v>
      </c>
      <c r="D7" s="7" t="s">
        <v>452</v>
      </c>
      <c r="E7" s="286" t="s">
        <v>632</v>
      </c>
      <c r="F7" s="5"/>
      <c r="G7" s="5"/>
      <c r="H7" s="5"/>
      <c r="I7" s="258"/>
      <c r="J7" s="5"/>
      <c r="K7" s="4"/>
      <c r="L7" s="5"/>
      <c r="M7" s="502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8701570</v>
      </c>
      <c r="J8" s="153">
        <f>SUM(J9:J11)</f>
        <v>8701570</v>
      </c>
      <c r="K8" s="319">
        <f>SUM(K9:K11)</f>
        <v>8754630</v>
      </c>
      <c r="L8" s="153">
        <f>SUM(L9:L11)</f>
        <v>0</v>
      </c>
      <c r="M8" s="503">
        <f>SUM(M9:M11)</f>
        <v>8754630</v>
      </c>
      <c r="N8" s="538">
        <f t="shared" ref="N8:N31" si="0">IF(J8=0,"",M8/J8*100)</f>
        <v>100.60977501761177</v>
      </c>
      <c r="P8" s="45"/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7124300+2*800+15000</f>
        <v>7140900</v>
      </c>
      <c r="J9" s="151">
        <f>7124300+2*800+15000</f>
        <v>7140900</v>
      </c>
      <c r="K9" s="253">
        <f>7047000+108180+1100+5*630+176160</f>
        <v>7335590</v>
      </c>
      <c r="L9" s="151">
        <v>0</v>
      </c>
      <c r="M9" s="504">
        <f>SUM(K9:L9)</f>
        <v>7335590</v>
      </c>
      <c r="N9" s="539">
        <f t="shared" si="0"/>
        <v>102.72640703552773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1444000+22170+2*1400+2500+223*400</f>
        <v>1560670</v>
      </c>
      <c r="J10" s="151">
        <f>1444000+22170+2*1400+2500+223*400</f>
        <v>1560670</v>
      </c>
      <c r="K10" s="253">
        <f>1124420+285170+2450+5*1400</f>
        <v>1419040</v>
      </c>
      <c r="L10" s="151">
        <v>0</v>
      </c>
      <c r="M10" s="504">
        <f t="shared" ref="M10" si="1">SUM(K10:L10)</f>
        <v>1419040</v>
      </c>
      <c r="N10" s="539">
        <f t="shared" si="0"/>
        <v>90.925051420223369</v>
      </c>
    </row>
    <row r="11" spans="2:16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SUM(I13:I15)</f>
        <v>1163440</v>
      </c>
      <c r="J12" s="153">
        <f t="shared" si="2"/>
        <v>1163440</v>
      </c>
      <c r="K12" s="319">
        <f t="shared" ref="K12:M12" si="3">SUM(K13:K15)</f>
        <v>1111710</v>
      </c>
      <c r="L12" s="153">
        <f t="shared" si="3"/>
        <v>0</v>
      </c>
      <c r="M12" s="503">
        <f t="shared" si="3"/>
        <v>1111710</v>
      </c>
      <c r="N12" s="538">
        <f t="shared" si="0"/>
        <v>95.553702812349584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1097000+2*220+2000</f>
        <v>1099440</v>
      </c>
      <c r="J13" s="151">
        <f>1097000+2*220+2000</f>
        <v>1099440</v>
      </c>
      <c r="K13" s="253">
        <f>1080790+390+5*230+19380</f>
        <v>1101710</v>
      </c>
      <c r="L13" s="151">
        <v>0</v>
      </c>
      <c r="M13" s="504">
        <f>SUM(K13:L13)</f>
        <v>1101710</v>
      </c>
      <c r="N13" s="539">
        <f t="shared" si="0"/>
        <v>100.20646874772612</v>
      </c>
    </row>
    <row r="14" spans="2:16" ht="12.95" customHeight="1" x14ac:dyDescent="0.2">
      <c r="B14" s="10"/>
      <c r="C14" s="11"/>
      <c r="D14" s="11"/>
      <c r="E14" s="11"/>
      <c r="F14" s="122">
        <v>612100</v>
      </c>
      <c r="G14" s="136" t="s">
        <v>307</v>
      </c>
      <c r="H14" s="293" t="s">
        <v>308</v>
      </c>
      <c r="I14" s="151">
        <v>0</v>
      </c>
      <c r="J14" s="151">
        <v>0</v>
      </c>
      <c r="K14" s="253">
        <v>0</v>
      </c>
      <c r="L14" s="151">
        <v>0</v>
      </c>
      <c r="M14" s="504">
        <f>SUM(K14:L14)</f>
        <v>0</v>
      </c>
      <c r="N14" s="539" t="str">
        <f t="shared" si="0"/>
        <v/>
      </c>
    </row>
    <row r="15" spans="2:16" ht="12.95" customHeight="1" x14ac:dyDescent="0.2">
      <c r="B15" s="10"/>
      <c r="C15" s="11"/>
      <c r="D15" s="11"/>
      <c r="E15" s="11"/>
      <c r="F15" s="122">
        <v>612100</v>
      </c>
      <c r="G15" s="136" t="s">
        <v>776</v>
      </c>
      <c r="H15" s="257" t="s">
        <v>777</v>
      </c>
      <c r="I15" s="151">
        <f>10000+54000</f>
        <v>64000</v>
      </c>
      <c r="J15" s="151">
        <f>10000+54000</f>
        <v>64000</v>
      </c>
      <c r="K15" s="253">
        <v>10000</v>
      </c>
      <c r="L15" s="151">
        <v>0</v>
      </c>
      <c r="M15" s="504">
        <f>SUM(K15:L15)</f>
        <v>10000</v>
      </c>
      <c r="N15" s="539">
        <f t="shared" ref="N15" si="4">IF(J15=0,"",M15/J15*100)</f>
        <v>15.625</v>
      </c>
    </row>
    <row r="16" spans="2:16" ht="12.95" customHeight="1" x14ac:dyDescent="0.2">
      <c r="B16" s="10"/>
      <c r="C16" s="11"/>
      <c r="D16" s="11"/>
      <c r="E16" s="11"/>
      <c r="F16" s="122"/>
      <c r="G16" s="136"/>
      <c r="H16" s="22"/>
      <c r="I16" s="151"/>
      <c r="J16" s="151"/>
      <c r="K16" s="253"/>
      <c r="L16" s="151"/>
      <c r="M16" s="478"/>
      <c r="N16" s="539" t="str">
        <f t="shared" si="0"/>
        <v/>
      </c>
    </row>
    <row r="17" spans="2:14" s="1" customFormat="1" ht="12.95" customHeight="1" x14ac:dyDescent="0.25">
      <c r="B17" s="12"/>
      <c r="C17" s="8"/>
      <c r="D17" s="8"/>
      <c r="E17" s="8"/>
      <c r="F17" s="121">
        <v>613000</v>
      </c>
      <c r="G17" s="135"/>
      <c r="H17" s="23" t="s">
        <v>309</v>
      </c>
      <c r="I17" s="153">
        <f>SUM(I18:I26)</f>
        <v>852700</v>
      </c>
      <c r="J17" s="153">
        <f>SUM(J18:J26)</f>
        <v>852700</v>
      </c>
      <c r="K17" s="319">
        <f>SUM(K18:K26)</f>
        <v>1092800</v>
      </c>
      <c r="L17" s="153">
        <f>SUM(L18:L26)</f>
        <v>0</v>
      </c>
      <c r="M17" s="476">
        <f>SUM(M18:M26)</f>
        <v>1092800</v>
      </c>
      <c r="N17" s="538">
        <f t="shared" si="0"/>
        <v>128.15761698135336</v>
      </c>
    </row>
    <row r="18" spans="2:14" ht="12.95" customHeight="1" x14ac:dyDescent="0.2">
      <c r="B18" s="10"/>
      <c r="C18" s="11"/>
      <c r="D18" s="11"/>
      <c r="E18" s="11"/>
      <c r="F18" s="122">
        <v>613100</v>
      </c>
      <c r="G18" s="136"/>
      <c r="H18" s="22" t="s">
        <v>310</v>
      </c>
      <c r="I18" s="151">
        <v>15000</v>
      </c>
      <c r="J18" s="151">
        <v>15000</v>
      </c>
      <c r="K18" s="253">
        <v>13200</v>
      </c>
      <c r="L18" s="151">
        <v>0</v>
      </c>
      <c r="M18" s="504">
        <f t="shared" ref="M18:M26" si="5">SUM(K18:L18)</f>
        <v>13200</v>
      </c>
      <c r="N18" s="539">
        <f t="shared" si="0"/>
        <v>88</v>
      </c>
    </row>
    <row r="19" spans="2:14" ht="12.95" customHeight="1" x14ac:dyDescent="0.2">
      <c r="B19" s="10"/>
      <c r="C19" s="11"/>
      <c r="D19" s="11"/>
      <c r="E19" s="11"/>
      <c r="F19" s="122">
        <v>613200</v>
      </c>
      <c r="G19" s="136"/>
      <c r="H19" s="22" t="s">
        <v>311</v>
      </c>
      <c r="I19" s="151">
        <v>82000</v>
      </c>
      <c r="J19" s="151">
        <v>82000</v>
      </c>
      <c r="K19" s="253">
        <v>77000</v>
      </c>
      <c r="L19" s="151">
        <v>0</v>
      </c>
      <c r="M19" s="504">
        <f t="shared" si="5"/>
        <v>77000</v>
      </c>
      <c r="N19" s="539">
        <f t="shared" si="0"/>
        <v>93.902439024390233</v>
      </c>
    </row>
    <row r="20" spans="2:14" ht="12.95" customHeight="1" x14ac:dyDescent="0.2">
      <c r="B20" s="10"/>
      <c r="C20" s="11"/>
      <c r="D20" s="11"/>
      <c r="E20" s="11"/>
      <c r="F20" s="122">
        <v>613300</v>
      </c>
      <c r="G20" s="136"/>
      <c r="H20" s="22" t="s">
        <v>312</v>
      </c>
      <c r="I20" s="151">
        <v>85000</v>
      </c>
      <c r="J20" s="151">
        <v>85000</v>
      </c>
      <c r="K20" s="253">
        <v>86600</v>
      </c>
      <c r="L20" s="151">
        <v>0</v>
      </c>
      <c r="M20" s="504">
        <f t="shared" si="5"/>
        <v>86600</v>
      </c>
      <c r="N20" s="539">
        <f t="shared" si="0"/>
        <v>101.88235294117646</v>
      </c>
    </row>
    <row r="21" spans="2:14" ht="12.95" customHeight="1" x14ac:dyDescent="0.2">
      <c r="B21" s="10"/>
      <c r="C21" s="11"/>
      <c r="D21" s="11"/>
      <c r="E21" s="11"/>
      <c r="F21" s="122">
        <v>613400</v>
      </c>
      <c r="G21" s="136"/>
      <c r="H21" s="22" t="s">
        <v>313</v>
      </c>
      <c r="I21" s="151">
        <v>192500</v>
      </c>
      <c r="J21" s="151">
        <v>192500</v>
      </c>
      <c r="K21" s="253">
        <v>296000</v>
      </c>
      <c r="L21" s="151">
        <v>0</v>
      </c>
      <c r="M21" s="504">
        <f t="shared" si="5"/>
        <v>296000</v>
      </c>
      <c r="N21" s="539">
        <f t="shared" si="0"/>
        <v>153.76623376623377</v>
      </c>
    </row>
    <row r="22" spans="2:14" ht="12.95" customHeight="1" x14ac:dyDescent="0.2">
      <c r="B22" s="10"/>
      <c r="C22" s="11"/>
      <c r="D22" s="11"/>
      <c r="E22" s="11"/>
      <c r="F22" s="122">
        <v>613500</v>
      </c>
      <c r="G22" s="136"/>
      <c r="H22" s="22" t="s">
        <v>316</v>
      </c>
      <c r="I22" s="151">
        <v>150000</v>
      </c>
      <c r="J22" s="151">
        <v>150000</v>
      </c>
      <c r="K22" s="253">
        <v>142000</v>
      </c>
      <c r="L22" s="151">
        <v>0</v>
      </c>
      <c r="M22" s="504">
        <f t="shared" si="5"/>
        <v>142000</v>
      </c>
      <c r="N22" s="539">
        <f t="shared" si="0"/>
        <v>94.666666666666671</v>
      </c>
    </row>
    <row r="23" spans="2:14" ht="12.95" customHeight="1" x14ac:dyDescent="0.2">
      <c r="B23" s="10"/>
      <c r="C23" s="11"/>
      <c r="D23" s="11"/>
      <c r="E23" s="11"/>
      <c r="F23" s="122">
        <v>613600</v>
      </c>
      <c r="G23" s="136"/>
      <c r="H23" s="22" t="s">
        <v>317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5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613700</v>
      </c>
      <c r="G24" s="136"/>
      <c r="H24" s="22" t="s">
        <v>318</v>
      </c>
      <c r="I24" s="151">
        <v>115000</v>
      </c>
      <c r="J24" s="151">
        <v>115000</v>
      </c>
      <c r="K24" s="253">
        <f>126000+12000</f>
        <v>138000</v>
      </c>
      <c r="L24" s="151">
        <v>0</v>
      </c>
      <c r="M24" s="504">
        <f t="shared" si="5"/>
        <v>138000</v>
      </c>
      <c r="N24" s="539">
        <f t="shared" si="0"/>
        <v>120</v>
      </c>
    </row>
    <row r="25" spans="2:14" ht="12.95" customHeight="1" x14ac:dyDescent="0.2">
      <c r="B25" s="10"/>
      <c r="C25" s="11"/>
      <c r="D25" s="11"/>
      <c r="E25" s="11"/>
      <c r="F25" s="122">
        <v>613800</v>
      </c>
      <c r="G25" s="136"/>
      <c r="H25" s="22" t="s">
        <v>322</v>
      </c>
      <c r="I25" s="151">
        <v>33200</v>
      </c>
      <c r="J25" s="151">
        <v>33200</v>
      </c>
      <c r="K25" s="253">
        <v>39000</v>
      </c>
      <c r="L25" s="151">
        <v>0</v>
      </c>
      <c r="M25" s="504">
        <f t="shared" si="5"/>
        <v>39000</v>
      </c>
      <c r="N25" s="539">
        <f t="shared" si="0"/>
        <v>117.46987951807229</v>
      </c>
    </row>
    <row r="26" spans="2:14" ht="12.95" customHeight="1" x14ac:dyDescent="0.2">
      <c r="B26" s="10"/>
      <c r="C26" s="11"/>
      <c r="D26" s="11"/>
      <c r="E26" s="11"/>
      <c r="F26" s="122">
        <v>613900</v>
      </c>
      <c r="G26" s="136"/>
      <c r="H26" s="22" t="s">
        <v>325</v>
      </c>
      <c r="I26" s="151">
        <v>180000</v>
      </c>
      <c r="J26" s="151">
        <v>180000</v>
      </c>
      <c r="K26" s="253">
        <v>301000</v>
      </c>
      <c r="L26" s="151">
        <v>0</v>
      </c>
      <c r="M26" s="504">
        <f t="shared" si="5"/>
        <v>301000</v>
      </c>
      <c r="N26" s="539">
        <f t="shared" si="0"/>
        <v>167.22222222222223</v>
      </c>
    </row>
    <row r="27" spans="2:14" s="1" customFormat="1" ht="12.95" customHeight="1" x14ac:dyDescent="0.2">
      <c r="B27" s="12"/>
      <c r="C27" s="8"/>
      <c r="D27" s="8"/>
      <c r="E27" s="285"/>
      <c r="F27" s="129"/>
      <c r="G27" s="143"/>
      <c r="H27" s="23"/>
      <c r="I27" s="151"/>
      <c r="J27" s="151"/>
      <c r="K27" s="253"/>
      <c r="L27" s="151"/>
      <c r="M27" s="478"/>
      <c r="N27" s="539" t="str">
        <f t="shared" si="0"/>
        <v/>
      </c>
    </row>
    <row r="28" spans="2:14" s="1" customFormat="1" ht="12.95" customHeight="1" x14ac:dyDescent="0.25">
      <c r="B28" s="12"/>
      <c r="C28" s="8"/>
      <c r="D28" s="8"/>
      <c r="E28" s="8"/>
      <c r="F28" s="121">
        <v>821000</v>
      </c>
      <c r="G28" s="135"/>
      <c r="H28" s="23" t="s">
        <v>427</v>
      </c>
      <c r="I28" s="153">
        <f t="shared" ref="I28:J28" si="6">SUM(I29:I30)</f>
        <v>210000</v>
      </c>
      <c r="J28" s="153">
        <f t="shared" si="6"/>
        <v>210000</v>
      </c>
      <c r="K28" s="319">
        <f t="shared" ref="K28:M28" si="7">SUM(K29:K30)</f>
        <v>430000</v>
      </c>
      <c r="L28" s="153">
        <f t="shared" si="7"/>
        <v>0</v>
      </c>
      <c r="M28" s="476">
        <f t="shared" si="7"/>
        <v>430000</v>
      </c>
      <c r="N28" s="538">
        <f t="shared" si="0"/>
        <v>204.76190476190476</v>
      </c>
    </row>
    <row r="29" spans="2:14" ht="12.95" customHeight="1" x14ac:dyDescent="0.2">
      <c r="B29" s="10"/>
      <c r="C29" s="11"/>
      <c r="D29" s="11"/>
      <c r="E29" s="11"/>
      <c r="F29" s="122">
        <v>821200</v>
      </c>
      <c r="G29" s="136"/>
      <c r="H29" s="22" t="s">
        <v>429</v>
      </c>
      <c r="I29" s="151">
        <v>10000</v>
      </c>
      <c r="J29" s="151">
        <v>10000</v>
      </c>
      <c r="K29" s="253">
        <v>30000</v>
      </c>
      <c r="L29" s="151">
        <v>0</v>
      </c>
      <c r="M29" s="504">
        <f t="shared" ref="M29:M30" si="8">SUM(K29:L29)</f>
        <v>30000</v>
      </c>
      <c r="N29" s="539">
        <f t="shared" si="0"/>
        <v>300</v>
      </c>
    </row>
    <row r="30" spans="2:14" ht="12.95" customHeight="1" x14ac:dyDescent="0.2">
      <c r="B30" s="10"/>
      <c r="C30" s="11"/>
      <c r="D30" s="11"/>
      <c r="E30" s="11"/>
      <c r="F30" s="122">
        <v>821300</v>
      </c>
      <c r="G30" s="136"/>
      <c r="H30" s="22" t="s">
        <v>430</v>
      </c>
      <c r="I30" s="151">
        <v>200000</v>
      </c>
      <c r="J30" s="151">
        <v>200000</v>
      </c>
      <c r="K30" s="253">
        <v>400000</v>
      </c>
      <c r="L30" s="151">
        <v>0</v>
      </c>
      <c r="M30" s="504">
        <f t="shared" si="8"/>
        <v>400000</v>
      </c>
      <c r="N30" s="539">
        <f t="shared" si="0"/>
        <v>200</v>
      </c>
    </row>
    <row r="31" spans="2:14" ht="12.95" customHeight="1" x14ac:dyDescent="0.25">
      <c r="B31" s="10"/>
      <c r="C31" s="11"/>
      <c r="D31" s="11"/>
      <c r="E31" s="11"/>
      <c r="F31" s="122"/>
      <c r="G31" s="136"/>
      <c r="H31" s="22"/>
      <c r="I31" s="153"/>
      <c r="J31" s="153"/>
      <c r="K31" s="319"/>
      <c r="L31" s="153"/>
      <c r="M31" s="476"/>
      <c r="N31" s="539" t="str">
        <f t="shared" si="0"/>
        <v/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23" t="s">
        <v>441</v>
      </c>
      <c r="I32" s="269" t="s">
        <v>834</v>
      </c>
      <c r="J32" s="269" t="s">
        <v>834</v>
      </c>
      <c r="K32" s="321" t="s">
        <v>890</v>
      </c>
      <c r="L32" s="269"/>
      <c r="M32" s="471" t="s">
        <v>823</v>
      </c>
      <c r="N32" s="539"/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453</v>
      </c>
      <c r="I33" s="259">
        <f>I8+I12+I17+I28</f>
        <v>10927710</v>
      </c>
      <c r="J33" s="14">
        <f>J8+J12+J17+J28</f>
        <v>10927710</v>
      </c>
      <c r="K33" s="262">
        <f>K8+K12+K17+K28</f>
        <v>11389140</v>
      </c>
      <c r="L33" s="14">
        <f>L8+L12+L17+L28</f>
        <v>0</v>
      </c>
      <c r="M33" s="476">
        <f>M8+M12+M17+M28</f>
        <v>11389140</v>
      </c>
      <c r="N33" s="538">
        <f>IF(J33=0,"",M33/J33*100)</f>
        <v>104.22256813184099</v>
      </c>
    </row>
    <row r="34" spans="2:14" s="1" customFormat="1" ht="12.95" customHeight="1" x14ac:dyDescent="0.25">
      <c r="B34" s="12"/>
      <c r="C34" s="8"/>
      <c r="D34" s="8"/>
      <c r="E34" s="8"/>
      <c r="F34" s="121"/>
      <c r="G34" s="135"/>
      <c r="H34" s="8" t="s">
        <v>454</v>
      </c>
      <c r="I34" s="259">
        <f t="shared" ref="I34:I35" si="9">I33</f>
        <v>10927710</v>
      </c>
      <c r="J34" s="14">
        <f t="shared" ref="J34" si="10">J33</f>
        <v>10927710</v>
      </c>
      <c r="K34" s="262">
        <f t="shared" ref="K34:M35" si="11">K33</f>
        <v>11389140</v>
      </c>
      <c r="L34" s="14">
        <f t="shared" si="11"/>
        <v>0</v>
      </c>
      <c r="M34" s="476">
        <f t="shared" si="11"/>
        <v>11389140</v>
      </c>
      <c r="N34" s="538">
        <f>IF(J34=0,"",M34/J34*100)</f>
        <v>104.22256813184099</v>
      </c>
    </row>
    <row r="35" spans="2:14" s="1" customFormat="1" ht="12.95" customHeight="1" x14ac:dyDescent="0.25">
      <c r="B35" s="12"/>
      <c r="C35" s="8"/>
      <c r="D35" s="8"/>
      <c r="E35" s="8"/>
      <c r="F35" s="121"/>
      <c r="G35" s="135"/>
      <c r="H35" s="8" t="s">
        <v>455</v>
      </c>
      <c r="I35" s="14">
        <f t="shared" si="9"/>
        <v>10927710</v>
      </c>
      <c r="J35" s="14">
        <f t="shared" ref="J35" si="12">J34</f>
        <v>10927710</v>
      </c>
      <c r="K35" s="262">
        <f t="shared" si="11"/>
        <v>11389140</v>
      </c>
      <c r="L35" s="14">
        <f t="shared" si="11"/>
        <v>0</v>
      </c>
      <c r="M35" s="476">
        <f t="shared" si="11"/>
        <v>11389140</v>
      </c>
      <c r="N35" s="538">
        <f>IF(J35=0,"",M35/J35*100)</f>
        <v>104.22256813184099</v>
      </c>
    </row>
    <row r="36" spans="2:14" ht="12.95" customHeight="1" thickBot="1" x14ac:dyDescent="0.25">
      <c r="B36" s="15"/>
      <c r="C36" s="16"/>
      <c r="D36" s="16"/>
      <c r="E36" s="16"/>
      <c r="F36" s="123"/>
      <c r="G36" s="137"/>
      <c r="H36" s="16"/>
      <c r="I36" s="16"/>
      <c r="J36" s="16"/>
      <c r="K36" s="15"/>
      <c r="L36" s="16"/>
      <c r="M36" s="496"/>
      <c r="N36" s="540"/>
    </row>
    <row r="37" spans="2:14" ht="12.95" customHeight="1" x14ac:dyDescent="0.2">
      <c r="F37" s="124"/>
      <c r="G37" s="138"/>
      <c r="K37" s="543"/>
      <c r="M37" s="161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2.95" customHeight="1" x14ac:dyDescent="0.2">
      <c r="F58" s="124"/>
      <c r="G58" s="138"/>
      <c r="M58" s="161"/>
    </row>
    <row r="59" spans="6:13" ht="12.95" customHeight="1" x14ac:dyDescent="0.2">
      <c r="F59" s="124"/>
      <c r="G59" s="138"/>
      <c r="M59" s="161"/>
    </row>
    <row r="60" spans="6:13" ht="17.100000000000001" customHeight="1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38"/>
      <c r="M72" s="161"/>
    </row>
    <row r="73" spans="6:13" ht="14.25" x14ac:dyDescent="0.2">
      <c r="F73" s="124"/>
      <c r="G73" s="138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ht="14.25" x14ac:dyDescent="0.2">
      <c r="F89" s="124"/>
      <c r="G89" s="124"/>
      <c r="M89" s="161"/>
    </row>
    <row r="90" spans="6:13" ht="14.25" x14ac:dyDescent="0.2">
      <c r="F90" s="124"/>
      <c r="G90" s="124"/>
      <c r="M90" s="161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  <row r="96" spans="6:13" x14ac:dyDescent="0.2">
      <c r="G96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3"/>
  <dimension ref="B1:N96"/>
  <sheetViews>
    <sheetView topLeftCell="C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479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480</v>
      </c>
      <c r="C7" s="7" t="s">
        <v>451</v>
      </c>
      <c r="D7" s="7" t="s">
        <v>452</v>
      </c>
      <c r="E7" s="286" t="s">
        <v>642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274060</v>
      </c>
      <c r="J8" s="153">
        <f>SUM(J9:J11)</f>
        <v>274060</v>
      </c>
      <c r="K8" s="319">
        <f>SUM(K9:K11)</f>
        <v>264820</v>
      </c>
      <c r="L8" s="153">
        <f>SUM(L9:L11)</f>
        <v>0</v>
      </c>
      <c r="M8" s="503">
        <f>SUM(M9:M11)</f>
        <v>264820</v>
      </c>
      <c r="N8" s="538">
        <f t="shared" ref="N8:N31" si="0">IF(J8=0,"",M8/J8*100)</f>
        <v>96.628475516310303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225600+700</f>
        <v>226300</v>
      </c>
      <c r="J9" s="154">
        <f>225600+700</f>
        <v>226300</v>
      </c>
      <c r="K9" s="254">
        <f>221940+5550</f>
        <v>227490</v>
      </c>
      <c r="L9" s="154">
        <v>0</v>
      </c>
      <c r="M9" s="504">
        <f>SUM(K9:L9)</f>
        <v>227490</v>
      </c>
      <c r="N9" s="539">
        <f t="shared" si="0"/>
        <v>100.52585064074238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39210+5550+200+7*400</f>
        <v>47760</v>
      </c>
      <c r="J10" s="154">
        <f>39210+5550+200+7*400</f>
        <v>47760</v>
      </c>
      <c r="K10" s="254">
        <f>37330</f>
        <v>37330</v>
      </c>
      <c r="L10" s="154">
        <v>0</v>
      </c>
      <c r="M10" s="504">
        <f t="shared" ref="M10" si="1">SUM(K10:L10)</f>
        <v>37330</v>
      </c>
      <c r="N10" s="539">
        <f t="shared" si="0"/>
        <v>78.161641541038534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23790</v>
      </c>
      <c r="J12" s="153">
        <f t="shared" si="2"/>
        <v>23790</v>
      </c>
      <c r="K12" s="319">
        <f>K13</f>
        <v>23980</v>
      </c>
      <c r="L12" s="153">
        <f>L13</f>
        <v>0</v>
      </c>
      <c r="M12" s="503">
        <f>M13</f>
        <v>23980</v>
      </c>
      <c r="N12" s="538">
        <f t="shared" si="0"/>
        <v>100.79865489701557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23700+90</f>
        <v>23790</v>
      </c>
      <c r="J13" s="154">
        <f>23700+90</f>
        <v>23790</v>
      </c>
      <c r="K13" s="254">
        <f>23370+610</f>
        <v>23980</v>
      </c>
      <c r="L13" s="154">
        <v>0</v>
      </c>
      <c r="M13" s="504">
        <f>SUM(K13:L13)</f>
        <v>23980</v>
      </c>
      <c r="N13" s="539">
        <f t="shared" si="0"/>
        <v>100.79865489701557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SUM(I16:I26)</f>
        <v>204800</v>
      </c>
      <c r="J15" s="155">
        <f>SUM(J16:J26)</f>
        <v>204800</v>
      </c>
      <c r="K15" s="320">
        <f>SUM(K16:K26)</f>
        <v>214800</v>
      </c>
      <c r="L15" s="155">
        <f>SUM(L16:L26)</f>
        <v>0</v>
      </c>
      <c r="M15" s="476">
        <f>SUM(M16:M26)</f>
        <v>214800</v>
      </c>
      <c r="N15" s="538">
        <f t="shared" si="0"/>
        <v>104.8828125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3500</v>
      </c>
      <c r="J16" s="151">
        <v>3500</v>
      </c>
      <c r="K16" s="253">
        <v>3500</v>
      </c>
      <c r="L16" s="151">
        <v>0</v>
      </c>
      <c r="M16" s="504">
        <f t="shared" ref="M16:M24" si="3">SUM(K16:L16)</f>
        <v>3500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2800</v>
      </c>
      <c r="J18" s="151">
        <v>2800</v>
      </c>
      <c r="K18" s="253">
        <v>2800</v>
      </c>
      <c r="L18" s="151">
        <v>0</v>
      </c>
      <c r="M18" s="504">
        <f t="shared" si="3"/>
        <v>2800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3000</v>
      </c>
      <c r="J19" s="151">
        <v>3000</v>
      </c>
      <c r="K19" s="253">
        <v>3000</v>
      </c>
      <c r="L19" s="151">
        <v>0</v>
      </c>
      <c r="M19" s="504">
        <f t="shared" si="3"/>
        <v>3000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1000</v>
      </c>
      <c r="J22" s="151">
        <v>1000</v>
      </c>
      <c r="K22" s="253">
        <v>1000</v>
      </c>
      <c r="L22" s="151">
        <v>0</v>
      </c>
      <c r="M22" s="504">
        <f t="shared" si="3"/>
        <v>1000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15000</v>
      </c>
      <c r="J24" s="151">
        <v>15000</v>
      </c>
      <c r="K24" s="253">
        <v>30000</v>
      </c>
      <c r="L24" s="151">
        <v>0</v>
      </c>
      <c r="M24" s="504">
        <f t="shared" si="3"/>
        <v>30000</v>
      </c>
      <c r="N24" s="539">
        <f t="shared" si="0"/>
        <v>200</v>
      </c>
    </row>
    <row r="25" spans="2:14" ht="12.95" customHeight="1" x14ac:dyDescent="0.2">
      <c r="B25" s="10"/>
      <c r="C25" s="11"/>
      <c r="D25" s="11"/>
      <c r="E25" s="11"/>
      <c r="F25" s="122">
        <v>613900</v>
      </c>
      <c r="G25" s="136" t="s">
        <v>327</v>
      </c>
      <c r="H25" s="293" t="s">
        <v>481</v>
      </c>
      <c r="I25" s="151">
        <v>44500</v>
      </c>
      <c r="J25" s="151">
        <v>44500</v>
      </c>
      <c r="K25" s="253">
        <v>44500</v>
      </c>
      <c r="L25" s="151">
        <v>0</v>
      </c>
      <c r="M25" s="504">
        <f t="shared" ref="M25:M26" si="4">SUM(K25:L25)</f>
        <v>44500</v>
      </c>
      <c r="N25" s="539">
        <f t="shared" si="0"/>
        <v>100</v>
      </c>
    </row>
    <row r="26" spans="2:14" s="296" customFormat="1" ht="12.95" customHeight="1" x14ac:dyDescent="0.2">
      <c r="B26" s="297"/>
      <c r="C26" s="274"/>
      <c r="D26" s="274"/>
      <c r="E26" s="274"/>
      <c r="F26" s="298">
        <v>613900</v>
      </c>
      <c r="G26" s="299" t="s">
        <v>329</v>
      </c>
      <c r="H26" s="257" t="s">
        <v>482</v>
      </c>
      <c r="I26" s="151">
        <v>135000</v>
      </c>
      <c r="J26" s="151">
        <v>135000</v>
      </c>
      <c r="K26" s="253">
        <v>130000</v>
      </c>
      <c r="L26" s="151">
        <v>0</v>
      </c>
      <c r="M26" s="300">
        <f t="shared" si="4"/>
        <v>130000</v>
      </c>
      <c r="N26" s="541">
        <f t="shared" si="0"/>
        <v>96.296296296296291</v>
      </c>
    </row>
    <row r="27" spans="2:14" s="1" customFormat="1" ht="12.95" customHeight="1" x14ac:dyDescent="0.2">
      <c r="B27" s="12"/>
      <c r="C27" s="8"/>
      <c r="D27" s="8"/>
      <c r="E27" s="285"/>
      <c r="F27" s="129"/>
      <c r="G27" s="143"/>
      <c r="H27" s="23"/>
      <c r="I27" s="154"/>
      <c r="J27" s="154"/>
      <c r="K27" s="254"/>
      <c r="L27" s="154"/>
      <c r="M27" s="478"/>
      <c r="N27" s="539" t="str">
        <f t="shared" si="0"/>
        <v/>
      </c>
    </row>
    <row r="28" spans="2:14" s="1" customFormat="1" ht="12.95" customHeight="1" x14ac:dyDescent="0.25">
      <c r="B28" s="12"/>
      <c r="C28" s="8"/>
      <c r="D28" s="8"/>
      <c r="E28" s="8"/>
      <c r="F28" s="121">
        <v>821000</v>
      </c>
      <c r="G28" s="135"/>
      <c r="H28" s="23" t="s">
        <v>427</v>
      </c>
      <c r="I28" s="153">
        <f t="shared" ref="I28:J28" si="5">SUM(I29:I30)</f>
        <v>5000</v>
      </c>
      <c r="J28" s="153">
        <f t="shared" si="5"/>
        <v>5000</v>
      </c>
      <c r="K28" s="319">
        <f t="shared" ref="K28:M28" si="6">SUM(K29:K30)</f>
        <v>5000</v>
      </c>
      <c r="L28" s="153">
        <f t="shared" si="6"/>
        <v>0</v>
      </c>
      <c r="M28" s="476">
        <f t="shared" si="6"/>
        <v>5000</v>
      </c>
      <c r="N28" s="538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>
        <v>821200</v>
      </c>
      <c r="G29" s="136"/>
      <c r="H29" s="22" t="s">
        <v>429</v>
      </c>
      <c r="I29" s="154">
        <v>0</v>
      </c>
      <c r="J29" s="154">
        <v>0</v>
      </c>
      <c r="K29" s="254">
        <v>0</v>
      </c>
      <c r="L29" s="154">
        <v>0</v>
      </c>
      <c r="M29" s="504">
        <f t="shared" ref="M29:M30" si="7">SUM(K29:L29)</f>
        <v>0</v>
      </c>
      <c r="N29" s="539" t="str">
        <f t="shared" si="0"/>
        <v/>
      </c>
    </row>
    <row r="30" spans="2:14" ht="12.95" customHeight="1" x14ac:dyDescent="0.2">
      <c r="B30" s="10"/>
      <c r="C30" s="11"/>
      <c r="D30" s="11"/>
      <c r="E30" s="11"/>
      <c r="F30" s="122">
        <v>821300</v>
      </c>
      <c r="G30" s="136"/>
      <c r="H30" s="22" t="s">
        <v>430</v>
      </c>
      <c r="I30" s="154">
        <v>5000</v>
      </c>
      <c r="J30" s="154">
        <v>5000</v>
      </c>
      <c r="K30" s="254">
        <v>5000</v>
      </c>
      <c r="L30" s="154">
        <v>0</v>
      </c>
      <c r="M30" s="504">
        <f t="shared" si="7"/>
        <v>5000</v>
      </c>
      <c r="N30" s="539">
        <f t="shared" si="0"/>
        <v>100</v>
      </c>
    </row>
    <row r="31" spans="2:14" ht="12.95" customHeight="1" x14ac:dyDescent="0.2">
      <c r="B31" s="10"/>
      <c r="C31" s="11"/>
      <c r="D31" s="11"/>
      <c r="E31" s="11"/>
      <c r="F31" s="122"/>
      <c r="G31" s="136"/>
      <c r="H31" s="22"/>
      <c r="I31" s="154"/>
      <c r="J31" s="154"/>
      <c r="K31" s="254"/>
      <c r="L31" s="154"/>
      <c r="M31" s="478"/>
      <c r="N31" s="539" t="str">
        <f t="shared" si="0"/>
        <v/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23" t="s">
        <v>441</v>
      </c>
      <c r="I32" s="269">
        <v>7</v>
      </c>
      <c r="J32" s="269">
        <v>7</v>
      </c>
      <c r="K32" s="321">
        <v>7</v>
      </c>
      <c r="L32" s="269"/>
      <c r="M32" s="471">
        <v>7</v>
      </c>
      <c r="N32" s="539"/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23" t="s">
        <v>453</v>
      </c>
      <c r="I33" s="153">
        <f>I8+I12+I15+I28</f>
        <v>507650</v>
      </c>
      <c r="J33" s="153">
        <f>J8+J12+J15+J28</f>
        <v>507650</v>
      </c>
      <c r="K33" s="262">
        <f>K8+K12+K15+K28</f>
        <v>508600</v>
      </c>
      <c r="L33" s="14">
        <f>L8+L12+L15+L28</f>
        <v>0</v>
      </c>
      <c r="M33" s="476">
        <f>M8+M12+M15+M28</f>
        <v>508600</v>
      </c>
      <c r="N33" s="538">
        <f>IF(J33=0,"",M33/J33*100)</f>
        <v>100.18713680685511</v>
      </c>
    </row>
    <row r="34" spans="2:14" s="1" customFormat="1" ht="12.95" customHeight="1" x14ac:dyDescent="0.25">
      <c r="B34" s="12"/>
      <c r="C34" s="8"/>
      <c r="D34" s="8"/>
      <c r="E34" s="8"/>
      <c r="F34" s="121"/>
      <c r="G34" s="135"/>
      <c r="H34" s="8" t="s">
        <v>454</v>
      </c>
      <c r="I34" s="259"/>
      <c r="J34" s="14"/>
      <c r="K34" s="262"/>
      <c r="L34" s="14"/>
      <c r="M34" s="476"/>
      <c r="N34" s="539" t="str">
        <f>IF(J34=0,"",M34/J34*100)</f>
        <v/>
      </c>
    </row>
    <row r="35" spans="2:14" s="1" customFormat="1" ht="12.95" customHeight="1" x14ac:dyDescent="0.2">
      <c r="B35" s="12"/>
      <c r="C35" s="8"/>
      <c r="D35" s="8"/>
      <c r="E35" s="8"/>
      <c r="F35" s="121"/>
      <c r="G35" s="135"/>
      <c r="H35" s="8" t="s">
        <v>455</v>
      </c>
      <c r="I35" s="27"/>
      <c r="J35" s="27"/>
      <c r="K35" s="261"/>
      <c r="L35" s="27"/>
      <c r="M35" s="478"/>
      <c r="N35" s="539" t="str">
        <f>IF(J35=0,"",M35/J35*100)</f>
        <v/>
      </c>
    </row>
    <row r="36" spans="2:14" ht="12.95" customHeight="1" thickBot="1" x14ac:dyDescent="0.25">
      <c r="B36" s="15"/>
      <c r="C36" s="16"/>
      <c r="D36" s="16"/>
      <c r="E36" s="16"/>
      <c r="F36" s="123"/>
      <c r="G36" s="137"/>
      <c r="H36" s="16"/>
      <c r="I36" s="29"/>
      <c r="J36" s="29"/>
      <c r="K36" s="263"/>
      <c r="L36" s="29"/>
      <c r="M36" s="505"/>
      <c r="N36" s="540"/>
    </row>
    <row r="37" spans="2:14" ht="12.95" customHeight="1" x14ac:dyDescent="0.2">
      <c r="F37" s="124"/>
      <c r="G37" s="138"/>
      <c r="K37" s="54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2.95" customHeight="1" x14ac:dyDescent="0.2">
      <c r="F58" s="124"/>
      <c r="G58" s="138"/>
      <c r="M58" s="162"/>
    </row>
    <row r="59" spans="6:13" ht="12.95" customHeight="1" x14ac:dyDescent="0.2">
      <c r="F59" s="124"/>
      <c r="G59" s="138"/>
      <c r="M59" s="162"/>
    </row>
    <row r="60" spans="6:13" ht="17.100000000000001" customHeight="1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38"/>
      <c r="M72" s="162"/>
    </row>
    <row r="73" spans="6:13" ht="14.25" x14ac:dyDescent="0.2">
      <c r="F73" s="124"/>
      <c r="G73" s="138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ht="14.25" x14ac:dyDescent="0.2">
      <c r="F89" s="124"/>
      <c r="G89" s="124"/>
      <c r="M89" s="162"/>
    </row>
    <row r="90" spans="6:13" ht="14.25" x14ac:dyDescent="0.2">
      <c r="F90" s="124"/>
      <c r="G90" s="124"/>
      <c r="M90" s="162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  <row r="96" spans="6:13" x14ac:dyDescent="0.2">
      <c r="G96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4"/>
  <dimension ref="B1:R94"/>
  <sheetViews>
    <sheetView topLeftCell="H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8" ht="13.5" thickBot="1" x14ac:dyDescent="0.25"/>
    <row r="2" spans="2:18" s="64" customFormat="1" ht="20.100000000000001" customHeight="1" thickTop="1" thickBot="1" x14ac:dyDescent="0.25">
      <c r="B2" s="649" t="s">
        <v>483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8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8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8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8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8" s="2" customFormat="1" ht="12.95" customHeight="1" x14ac:dyDescent="0.25">
      <c r="B7" s="6" t="s">
        <v>480</v>
      </c>
      <c r="C7" s="7" t="s">
        <v>484</v>
      </c>
      <c r="D7" s="7" t="s">
        <v>467</v>
      </c>
      <c r="E7" s="286" t="s">
        <v>636</v>
      </c>
      <c r="F7" s="5"/>
      <c r="G7" s="5"/>
      <c r="H7" s="5"/>
      <c r="I7" s="56"/>
      <c r="J7" s="56"/>
      <c r="K7" s="271"/>
      <c r="L7" s="56"/>
      <c r="M7" s="514"/>
      <c r="N7" s="537"/>
    </row>
    <row r="8" spans="2:18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266">
        <f>SUM(I9:I11)</f>
        <v>1625000</v>
      </c>
      <c r="J8" s="266">
        <f>SUM(J9:J11)</f>
        <v>1625000</v>
      </c>
      <c r="K8" s="319">
        <f>SUM(K9:K11)</f>
        <v>1692290</v>
      </c>
      <c r="L8" s="266">
        <f>SUM(L9:L11)</f>
        <v>0</v>
      </c>
      <c r="M8" s="503">
        <f>SUM(M9:M11)</f>
        <v>1692290</v>
      </c>
      <c r="N8" s="538">
        <f t="shared" ref="N8:N30" si="0">IF(J8=0,"",M8/J8*100)</f>
        <v>104.14092307692309</v>
      </c>
    </row>
    <row r="9" spans="2:18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1344900+2*5800</f>
        <v>1356500</v>
      </c>
      <c r="J9" s="154">
        <f>1344900+2*5800</f>
        <v>1356500</v>
      </c>
      <c r="K9" s="254">
        <f>1345500+1100+14610+5780*12+33620</f>
        <v>1464190</v>
      </c>
      <c r="L9" s="152">
        <v>0</v>
      </c>
      <c r="M9" s="504">
        <f>SUM(K9:L9)</f>
        <v>1464190</v>
      </c>
      <c r="N9" s="539">
        <f t="shared" si="0"/>
        <v>107.93881312200514</v>
      </c>
    </row>
    <row r="10" spans="2:18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249700+2*300+1400+42*400</f>
        <v>268500</v>
      </c>
      <c r="J10" s="154">
        <f>249700+2*300+1400+42*400</f>
        <v>268500</v>
      </c>
      <c r="K10" s="254">
        <f>213470+6800+2450+290*12+1900</f>
        <v>228100</v>
      </c>
      <c r="L10" s="152">
        <v>0</v>
      </c>
      <c r="M10" s="504">
        <f t="shared" ref="M10" si="1">SUM(K10:L10)</f>
        <v>228100</v>
      </c>
      <c r="N10" s="539">
        <f t="shared" si="0"/>
        <v>84.953445065176908</v>
      </c>
    </row>
    <row r="11" spans="2:18" ht="12.95" customHeight="1" x14ac:dyDescent="0.2">
      <c r="B11" s="10"/>
      <c r="C11" s="11"/>
      <c r="D11" s="11"/>
      <c r="E11" s="11"/>
      <c r="F11" s="122"/>
      <c r="G11" s="136"/>
      <c r="H11" s="22"/>
      <c r="I11" s="152"/>
      <c r="J11" s="152"/>
      <c r="K11" s="254"/>
      <c r="L11" s="152"/>
      <c r="M11" s="504"/>
      <c r="N11" s="539" t="str">
        <f t="shared" si="0"/>
        <v/>
      </c>
    </row>
    <row r="12" spans="2:18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266">
        <f t="shared" ref="I12:J12" si="2">I13</f>
        <v>143400</v>
      </c>
      <c r="J12" s="266">
        <f t="shared" si="2"/>
        <v>143400</v>
      </c>
      <c r="K12" s="319">
        <f>K13</f>
        <v>151740</v>
      </c>
      <c r="L12" s="266">
        <f>L13</f>
        <v>0</v>
      </c>
      <c r="M12" s="503">
        <f>M13</f>
        <v>151740</v>
      </c>
      <c r="N12" s="538">
        <f t="shared" si="0"/>
        <v>105.81589958158997</v>
      </c>
    </row>
    <row r="13" spans="2:18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2">
        <f>141700+2*650+400</f>
        <v>143400</v>
      </c>
      <c r="J13" s="152">
        <f>141700+2*650+400</f>
        <v>143400</v>
      </c>
      <c r="K13" s="254">
        <f>139970+390+640*12+3700</f>
        <v>151740</v>
      </c>
      <c r="L13" s="152">
        <v>0</v>
      </c>
      <c r="M13" s="504">
        <f>SUM(K13:L13)</f>
        <v>151740</v>
      </c>
      <c r="N13" s="539">
        <f t="shared" si="0"/>
        <v>105.81589958158997</v>
      </c>
    </row>
    <row r="14" spans="2:18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  <c r="R14" s="44"/>
    </row>
    <row r="15" spans="2:18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3">
        <f>SUM(I16:I24)</f>
        <v>281000</v>
      </c>
      <c r="J15" s="153">
        <f>SUM(J16:J24)</f>
        <v>281000</v>
      </c>
      <c r="K15" s="320">
        <f>SUM(K16:K24)</f>
        <v>300000</v>
      </c>
      <c r="L15" s="155">
        <f>SUM(L16:L24)</f>
        <v>0</v>
      </c>
      <c r="M15" s="476">
        <f>SUM(M16:M24)</f>
        <v>300000</v>
      </c>
      <c r="N15" s="538">
        <f t="shared" si="0"/>
        <v>106.76156583629893</v>
      </c>
    </row>
    <row r="16" spans="2:18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6000</v>
      </c>
      <c r="J16" s="154">
        <v>6000</v>
      </c>
      <c r="K16" s="254">
        <v>6000</v>
      </c>
      <c r="L16" s="154">
        <v>0</v>
      </c>
      <c r="M16" s="504">
        <f t="shared" ref="M16:M24" si="3">SUM(K16:L16)</f>
        <v>6000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18000</v>
      </c>
      <c r="J17" s="154">
        <v>18000</v>
      </c>
      <c r="K17" s="254">
        <v>18000</v>
      </c>
      <c r="L17" s="154">
        <v>0</v>
      </c>
      <c r="M17" s="504">
        <f t="shared" si="3"/>
        <v>18000</v>
      </c>
      <c r="N17" s="539">
        <f t="shared" si="0"/>
        <v>100</v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70000</v>
      </c>
      <c r="J18" s="154">
        <v>70000</v>
      </c>
      <c r="K18" s="254">
        <v>80000</v>
      </c>
      <c r="L18" s="154">
        <v>0</v>
      </c>
      <c r="M18" s="504">
        <f t="shared" si="3"/>
        <v>80000</v>
      </c>
      <c r="N18" s="539">
        <f t="shared" si="0"/>
        <v>114.28571428571428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25000</v>
      </c>
      <c r="J19" s="154">
        <v>25000</v>
      </c>
      <c r="K19" s="254">
        <v>26000</v>
      </c>
      <c r="L19" s="154">
        <v>0</v>
      </c>
      <c r="M19" s="504">
        <f t="shared" si="3"/>
        <v>26000</v>
      </c>
      <c r="N19" s="539">
        <f t="shared" si="0"/>
        <v>104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13000</v>
      </c>
      <c r="J20" s="154">
        <v>13000</v>
      </c>
      <c r="K20" s="254">
        <v>15000</v>
      </c>
      <c r="L20" s="154">
        <v>0</v>
      </c>
      <c r="M20" s="504">
        <f t="shared" si="3"/>
        <v>15000</v>
      </c>
      <c r="N20" s="539">
        <f t="shared" si="0"/>
        <v>115.38461538461537</v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15000</v>
      </c>
      <c r="J22" s="154">
        <v>15000</v>
      </c>
      <c r="K22" s="254">
        <v>8000</v>
      </c>
      <c r="L22" s="154">
        <v>0</v>
      </c>
      <c r="M22" s="504">
        <f t="shared" si="3"/>
        <v>8000</v>
      </c>
      <c r="N22" s="539">
        <f t="shared" si="0"/>
        <v>53.333333333333336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4000</v>
      </c>
      <c r="J23" s="154">
        <v>4000</v>
      </c>
      <c r="K23" s="254">
        <v>7000</v>
      </c>
      <c r="L23" s="154">
        <v>0</v>
      </c>
      <c r="M23" s="504">
        <f t="shared" si="3"/>
        <v>7000</v>
      </c>
      <c r="N23" s="539">
        <f t="shared" si="0"/>
        <v>175</v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130000</v>
      </c>
      <c r="J24" s="154">
        <v>130000</v>
      </c>
      <c r="K24" s="254">
        <v>140000</v>
      </c>
      <c r="L24" s="154">
        <v>0</v>
      </c>
      <c r="M24" s="504">
        <f t="shared" si="3"/>
        <v>140000</v>
      </c>
      <c r="N24" s="539">
        <f t="shared" si="0"/>
        <v>107.69230769230769</v>
      </c>
      <c r="O24" s="277"/>
    </row>
    <row r="25" spans="2:15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5" ht="12.95" customHeight="1" x14ac:dyDescent="0.25">
      <c r="B26" s="10"/>
      <c r="C26" s="11"/>
      <c r="D26" s="11"/>
      <c r="E26" s="11"/>
      <c r="F26" s="122"/>
      <c r="G26" s="136"/>
      <c r="H26" s="22"/>
      <c r="I26" s="153"/>
      <c r="J26" s="153"/>
      <c r="K26" s="319"/>
      <c r="L26" s="153"/>
      <c r="M26" s="476"/>
      <c r="N26" s="539" t="str">
        <f t="shared" si="0"/>
        <v/>
      </c>
    </row>
    <row r="27" spans="2:15" s="1" customFormat="1" ht="12.95" customHeight="1" x14ac:dyDescent="0.25">
      <c r="B27" s="12"/>
      <c r="C27" s="8"/>
      <c r="D27" s="8"/>
      <c r="E27" s="8"/>
      <c r="F27" s="121">
        <v>821000</v>
      </c>
      <c r="G27" s="135"/>
      <c r="H27" s="23" t="s">
        <v>427</v>
      </c>
      <c r="I27" s="153">
        <f t="shared" ref="I27:J27" si="4">I28+I29</f>
        <v>37000</v>
      </c>
      <c r="J27" s="153">
        <f t="shared" si="4"/>
        <v>37000</v>
      </c>
      <c r="K27" s="319">
        <f>K28+K29</f>
        <v>102000</v>
      </c>
      <c r="L27" s="153">
        <f>L28+L29</f>
        <v>0</v>
      </c>
      <c r="M27" s="476">
        <f>M28+M29</f>
        <v>102000</v>
      </c>
      <c r="N27" s="538">
        <f t="shared" si="0"/>
        <v>275.67567567567568</v>
      </c>
    </row>
    <row r="28" spans="2:15" ht="12.95" customHeight="1" x14ac:dyDescent="0.2">
      <c r="B28" s="10"/>
      <c r="C28" s="11"/>
      <c r="D28" s="11"/>
      <c r="E28" s="11"/>
      <c r="F28" s="122">
        <v>821200</v>
      </c>
      <c r="G28" s="136"/>
      <c r="H28" s="22" t="s">
        <v>429</v>
      </c>
      <c r="I28" s="154">
        <v>22000</v>
      </c>
      <c r="J28" s="154">
        <v>22000</v>
      </c>
      <c r="K28" s="254">
        <v>0</v>
      </c>
      <c r="L28" s="154">
        <v>0</v>
      </c>
      <c r="M28" s="504">
        <f t="shared" ref="M28:M29" si="5">SUM(K28:L28)</f>
        <v>0</v>
      </c>
      <c r="N28" s="539">
        <f t="shared" si="0"/>
        <v>0</v>
      </c>
    </row>
    <row r="29" spans="2:15" ht="12.95" customHeight="1" x14ac:dyDescent="0.2">
      <c r="B29" s="10"/>
      <c r="C29" s="11"/>
      <c r="D29" s="11"/>
      <c r="E29" s="11"/>
      <c r="F29" s="122">
        <v>821300</v>
      </c>
      <c r="G29" s="136"/>
      <c r="H29" s="22" t="s">
        <v>430</v>
      </c>
      <c r="I29" s="154">
        <v>15000</v>
      </c>
      <c r="J29" s="154">
        <v>15000</v>
      </c>
      <c r="K29" s="254">
        <v>102000</v>
      </c>
      <c r="L29" s="154">
        <v>0</v>
      </c>
      <c r="M29" s="504">
        <f t="shared" si="5"/>
        <v>102000</v>
      </c>
      <c r="N29" s="539">
        <f t="shared" si="0"/>
        <v>680</v>
      </c>
    </row>
    <row r="30" spans="2:15" ht="12.95" customHeight="1" x14ac:dyDescent="0.2">
      <c r="B30" s="10"/>
      <c r="C30" s="11"/>
      <c r="D30" s="11"/>
      <c r="E30" s="11"/>
      <c r="F30" s="122"/>
      <c r="G30" s="136"/>
      <c r="H30" s="22"/>
      <c r="I30" s="154"/>
      <c r="J30" s="154"/>
      <c r="K30" s="254"/>
      <c r="L30" s="154"/>
      <c r="M30" s="478"/>
      <c r="N30" s="539" t="str">
        <f t="shared" si="0"/>
        <v/>
      </c>
    </row>
    <row r="31" spans="2:15" s="1" customFormat="1" ht="12.95" customHeight="1" x14ac:dyDescent="0.25">
      <c r="B31" s="12"/>
      <c r="C31" s="8"/>
      <c r="D31" s="8"/>
      <c r="E31" s="8"/>
      <c r="F31" s="121"/>
      <c r="G31" s="135"/>
      <c r="H31" s="23" t="s">
        <v>441</v>
      </c>
      <c r="I31" s="269">
        <v>42</v>
      </c>
      <c r="J31" s="269">
        <v>42</v>
      </c>
      <c r="K31" s="321">
        <v>42</v>
      </c>
      <c r="L31" s="269"/>
      <c r="M31" s="471">
        <v>42</v>
      </c>
      <c r="N31" s="539"/>
    </row>
    <row r="32" spans="2:15" s="1" customFormat="1" ht="12.95" customHeight="1" x14ac:dyDescent="0.25">
      <c r="B32" s="12"/>
      <c r="C32" s="8"/>
      <c r="D32" s="8"/>
      <c r="E32" s="8"/>
      <c r="F32" s="121"/>
      <c r="G32" s="135"/>
      <c r="H32" s="8" t="s">
        <v>453</v>
      </c>
      <c r="I32" s="259">
        <f>I8+I12+I15+I27</f>
        <v>2086400</v>
      </c>
      <c r="J32" s="14">
        <f>J8+J12+J15+J27</f>
        <v>2086400</v>
      </c>
      <c r="K32" s="262">
        <f>K8+K12+K15+K27</f>
        <v>2246030</v>
      </c>
      <c r="L32" s="14">
        <f>L8+L12+L15+L27</f>
        <v>0</v>
      </c>
      <c r="M32" s="476">
        <f>M8+M12+M15+M27</f>
        <v>2246030</v>
      </c>
      <c r="N32" s="538">
        <f>IF(J32=0,"",M32/J32*100)</f>
        <v>107.6509777607362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454</v>
      </c>
      <c r="I33" s="259">
        <f t="shared" ref="I33:M33" si="6">I32</f>
        <v>2086400</v>
      </c>
      <c r="J33" s="14">
        <f t="shared" ref="J33" si="7">J32</f>
        <v>2086400</v>
      </c>
      <c r="K33" s="262">
        <f t="shared" si="6"/>
        <v>2246030</v>
      </c>
      <c r="L33" s="14">
        <f t="shared" si="6"/>
        <v>0</v>
      </c>
      <c r="M33" s="476">
        <f t="shared" si="6"/>
        <v>2246030</v>
      </c>
      <c r="N33" s="538">
        <f>IF(J33=0,"",M33/J33*100)</f>
        <v>107.6509777607362</v>
      </c>
    </row>
    <row r="34" spans="2:14" s="1" customFormat="1" ht="12.95" customHeight="1" x14ac:dyDescent="0.2">
      <c r="B34" s="12"/>
      <c r="C34" s="8"/>
      <c r="D34" s="8"/>
      <c r="E34" s="8"/>
      <c r="F34" s="121"/>
      <c r="G34" s="135"/>
      <c r="H34" s="8" t="s">
        <v>455</v>
      </c>
      <c r="I34" s="27"/>
      <c r="J34" s="27"/>
      <c r="K34" s="261"/>
      <c r="L34" s="27"/>
      <c r="M34" s="478"/>
      <c r="N34" s="539"/>
    </row>
    <row r="35" spans="2:14" ht="12.95" customHeight="1" thickBot="1" x14ac:dyDescent="0.25">
      <c r="B35" s="15"/>
      <c r="C35" s="16"/>
      <c r="D35" s="16"/>
      <c r="E35" s="16"/>
      <c r="F35" s="123"/>
      <c r="G35" s="137"/>
      <c r="H35" s="16"/>
      <c r="I35" s="29"/>
      <c r="J35" s="29"/>
      <c r="K35" s="263"/>
      <c r="L35" s="29"/>
      <c r="M35" s="505"/>
      <c r="N35" s="540"/>
    </row>
    <row r="36" spans="2:14" ht="12.95" customHeight="1" x14ac:dyDescent="0.2">
      <c r="F36" s="124"/>
      <c r="G36" s="138"/>
      <c r="K36" s="311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7"/>
  <dimension ref="B1:N94"/>
  <sheetViews>
    <sheetView topLeftCell="E1" zoomScaleNormal="100" workbookViewId="0">
      <selection activeCell="Q5" sqref="Q5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485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72" t="s">
        <v>289</v>
      </c>
      <c r="L5" s="273" t="s">
        <v>290</v>
      </c>
      <c r="M5" s="515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480</v>
      </c>
      <c r="C7" s="7" t="s">
        <v>486</v>
      </c>
      <c r="D7" s="7" t="s">
        <v>452</v>
      </c>
      <c r="E7" s="286" t="s">
        <v>636</v>
      </c>
      <c r="F7" s="5"/>
      <c r="G7" s="5"/>
      <c r="H7" s="5"/>
      <c r="I7" s="56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51060</v>
      </c>
      <c r="J8" s="153">
        <f>SUM(J9:J11)</f>
        <v>51060</v>
      </c>
      <c r="K8" s="319">
        <f>SUM(K9:K11)</f>
        <v>52790</v>
      </c>
      <c r="L8" s="153">
        <f>SUM(L9:L11)</f>
        <v>0</v>
      </c>
      <c r="M8" s="503">
        <f>SUM(M9:M11)</f>
        <v>52790</v>
      </c>
      <c r="N8" s="538">
        <f t="shared" ref="N8:N29" si="0">IF(J8=0,"",M8/J8*100)</f>
        <v>103.38817077947513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45510+50</f>
        <v>45560</v>
      </c>
      <c r="J9" s="154">
        <f>45510+50</f>
        <v>45560</v>
      </c>
      <c r="K9" s="254">
        <f>46850+1170</f>
        <v>48020</v>
      </c>
      <c r="L9" s="154">
        <v>0</v>
      </c>
      <c r="M9" s="504">
        <f>SUM(K9:L9)</f>
        <v>48020</v>
      </c>
      <c r="N9" s="539">
        <f t="shared" si="0"/>
        <v>105.39947322212467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5050+50+400</f>
        <v>5500</v>
      </c>
      <c r="J10" s="154">
        <f>5050+50+400</f>
        <v>5500</v>
      </c>
      <c r="K10" s="254">
        <f>4770</f>
        <v>4770</v>
      </c>
      <c r="L10" s="154">
        <v>0</v>
      </c>
      <c r="M10" s="504">
        <f t="shared" ref="M10" si="1">SUM(K10:L10)</f>
        <v>4770</v>
      </c>
      <c r="N10" s="539">
        <f t="shared" si="0"/>
        <v>86.727272727272734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4830</v>
      </c>
      <c r="J12" s="153">
        <f t="shared" si="2"/>
        <v>4830</v>
      </c>
      <c r="K12" s="319">
        <f>K13</f>
        <v>5100</v>
      </c>
      <c r="L12" s="153">
        <f>L13</f>
        <v>0</v>
      </c>
      <c r="M12" s="503">
        <f>M13</f>
        <v>5100</v>
      </c>
      <c r="N12" s="538">
        <f t="shared" si="0"/>
        <v>105.59006211180125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4810+20</f>
        <v>4830</v>
      </c>
      <c r="J13" s="154">
        <f>4810+20</f>
        <v>4830</v>
      </c>
      <c r="K13" s="254">
        <f>4970+130</f>
        <v>5100</v>
      </c>
      <c r="L13" s="154">
        <v>0</v>
      </c>
      <c r="M13" s="504">
        <f>SUM(K13:L13)</f>
        <v>5100</v>
      </c>
      <c r="N13" s="539">
        <f t="shared" si="0"/>
        <v>105.59006211180125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3">
        <f>SUM(I16:I24)</f>
        <v>3000</v>
      </c>
      <c r="J15" s="153">
        <f>SUM(J16:J24)</f>
        <v>3000</v>
      </c>
      <c r="K15" s="320">
        <f>SUM(K16:K24)</f>
        <v>4000</v>
      </c>
      <c r="L15" s="155">
        <f>SUM(L16:L24)</f>
        <v>0</v>
      </c>
      <c r="M15" s="476">
        <f>SUM(M16:M24)</f>
        <v>4000</v>
      </c>
      <c r="N15" s="539">
        <f t="shared" si="0"/>
        <v>133.33333333333331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500</v>
      </c>
      <c r="J16" s="154">
        <v>500</v>
      </c>
      <c r="K16" s="254">
        <v>1000</v>
      </c>
      <c r="L16" s="154">
        <v>0</v>
      </c>
      <c r="M16" s="504">
        <f t="shared" ref="M16:M24" si="3">SUM(K16:L16)</f>
        <v>1000</v>
      </c>
      <c r="N16" s="539">
        <f t="shared" si="0"/>
        <v>200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1000</v>
      </c>
      <c r="J18" s="154">
        <v>1000</v>
      </c>
      <c r="K18" s="254">
        <v>1000</v>
      </c>
      <c r="L18" s="154">
        <v>0</v>
      </c>
      <c r="M18" s="504">
        <f t="shared" si="3"/>
        <v>1000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1000</v>
      </c>
      <c r="J19" s="154">
        <v>1000</v>
      </c>
      <c r="K19" s="254">
        <v>1000</v>
      </c>
      <c r="L19" s="154">
        <v>0</v>
      </c>
      <c r="M19" s="504">
        <f t="shared" si="3"/>
        <v>1000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0</v>
      </c>
      <c r="J22" s="154">
        <v>0</v>
      </c>
      <c r="K22" s="254">
        <v>0</v>
      </c>
      <c r="L22" s="154">
        <v>0</v>
      </c>
      <c r="M22" s="504">
        <f t="shared" si="3"/>
        <v>0</v>
      </c>
      <c r="N22" s="539" t="str">
        <f t="shared" si="0"/>
        <v/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0</v>
      </c>
      <c r="L23" s="154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500</v>
      </c>
      <c r="J24" s="154">
        <v>500</v>
      </c>
      <c r="K24" s="254">
        <v>1000</v>
      </c>
      <c r="L24" s="154">
        <v>0</v>
      </c>
      <c r="M24" s="504">
        <f t="shared" si="3"/>
        <v>1000</v>
      </c>
      <c r="N24" s="539">
        <f t="shared" si="0"/>
        <v>200</v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4"/>
      <c r="J25" s="154"/>
      <c r="K25" s="254"/>
      <c r="L25" s="154"/>
      <c r="M25" s="300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1000</v>
      </c>
      <c r="J26" s="153">
        <f t="shared" si="4"/>
        <v>1000</v>
      </c>
      <c r="K26" s="319">
        <f t="shared" ref="K26:L26" si="5">SUM(K27:K28)</f>
        <v>1000</v>
      </c>
      <c r="L26" s="153">
        <f t="shared" si="5"/>
        <v>0</v>
      </c>
      <c r="M26" s="516">
        <f>SUM(M27:M28)</f>
        <v>1000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>
        <v>0</v>
      </c>
      <c r="M27" s="504">
        <f t="shared" ref="M27:M28" si="6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1000</v>
      </c>
      <c r="J28" s="154">
        <v>1000</v>
      </c>
      <c r="K28" s="254">
        <v>1000</v>
      </c>
      <c r="L28" s="154">
        <v>0</v>
      </c>
      <c r="M28" s="504">
        <f t="shared" si="6"/>
        <v>1000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1</v>
      </c>
      <c r="J30" s="153">
        <v>1</v>
      </c>
      <c r="K30" s="319">
        <v>1</v>
      </c>
      <c r="L30" s="153"/>
      <c r="M30" s="476">
        <v>1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59890</v>
      </c>
      <c r="J31" s="14">
        <f>J8+J12+J15+J26</f>
        <v>59890</v>
      </c>
      <c r="K31" s="262">
        <f>K8+K12+K15+K26</f>
        <v>62890</v>
      </c>
      <c r="L31" s="14">
        <f>L8+L12+L15+L26</f>
        <v>0</v>
      </c>
      <c r="M31" s="476">
        <f>M8+M12+M15+M26</f>
        <v>62890</v>
      </c>
      <c r="N31" s="538">
        <f>IF(J31=0,"",M31/J31*100)</f>
        <v>105.00918350308899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8"/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43"/>
  <dimension ref="B1:N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487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480</v>
      </c>
      <c r="C7" s="7" t="s">
        <v>486</v>
      </c>
      <c r="D7" s="7" t="s">
        <v>465</v>
      </c>
      <c r="E7" s="286" t="s">
        <v>636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110440</v>
      </c>
      <c r="J8" s="153">
        <f>SUM(J9:J11)</f>
        <v>110440</v>
      </c>
      <c r="K8" s="319">
        <f>SUM(K9:K11)</f>
        <v>112860</v>
      </c>
      <c r="L8" s="153">
        <f>SUM(L9:L11)</f>
        <v>0</v>
      </c>
      <c r="M8" s="503">
        <f>SUM(M9:M11)</f>
        <v>112860</v>
      </c>
      <c r="N8" s="538">
        <f t="shared" ref="N8:N29" si="0">IF(J8=0,"",M8/J8*100)</f>
        <v>102.19123505976096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93150+100</f>
        <v>93250</v>
      </c>
      <c r="J9" s="154">
        <f>93150+100</f>
        <v>93250</v>
      </c>
      <c r="K9" s="254">
        <f>95780+2400</f>
        <v>98180</v>
      </c>
      <c r="L9" s="154">
        <v>0</v>
      </c>
      <c r="M9" s="504">
        <f>SUM(K9:L9)</f>
        <v>98180</v>
      </c>
      <c r="N9" s="539">
        <f t="shared" si="0"/>
        <v>105.28686327077747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15890+100+3*400</f>
        <v>17190</v>
      </c>
      <c r="J10" s="154">
        <f>15890+100+3*400</f>
        <v>17190</v>
      </c>
      <c r="K10" s="254">
        <f>14680</f>
        <v>14680</v>
      </c>
      <c r="L10" s="154">
        <v>0</v>
      </c>
      <c r="M10" s="504">
        <f t="shared" ref="M10" si="1">SUM(K10:L10)</f>
        <v>14680</v>
      </c>
      <c r="N10" s="539">
        <f t="shared" si="0"/>
        <v>85.398487492728322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9800</v>
      </c>
      <c r="J12" s="153">
        <f t="shared" si="2"/>
        <v>9800</v>
      </c>
      <c r="K12" s="319">
        <f>K13</f>
        <v>10390</v>
      </c>
      <c r="L12" s="153">
        <f>L13</f>
        <v>0</v>
      </c>
      <c r="M12" s="503">
        <f>M13</f>
        <v>10390</v>
      </c>
      <c r="N12" s="538">
        <f t="shared" si="0"/>
        <v>106.0204081632653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9780+20</f>
        <v>9800</v>
      </c>
      <c r="J13" s="154">
        <f>9780+20</f>
        <v>9800</v>
      </c>
      <c r="K13" s="254">
        <f>10120+270</f>
        <v>10390</v>
      </c>
      <c r="L13" s="154">
        <v>0</v>
      </c>
      <c r="M13" s="504">
        <f>SUM(K13:L13)</f>
        <v>10390</v>
      </c>
      <c r="N13" s="539">
        <f t="shared" si="0"/>
        <v>106.0204081632653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5000</v>
      </c>
      <c r="J15" s="155">
        <f>SUM(J16:J24)</f>
        <v>5000</v>
      </c>
      <c r="K15" s="320">
        <f>SUM(K16:K24)</f>
        <v>5100</v>
      </c>
      <c r="L15" s="155">
        <f>SUM(L16:L24)</f>
        <v>0</v>
      </c>
      <c r="M15" s="476">
        <f>SUM(M16:M24)</f>
        <v>5100</v>
      </c>
      <c r="N15" s="538">
        <f t="shared" si="0"/>
        <v>102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1000</v>
      </c>
      <c r="J16" s="154">
        <v>1000</v>
      </c>
      <c r="K16" s="254">
        <v>1000</v>
      </c>
      <c r="L16" s="154">
        <v>0</v>
      </c>
      <c r="M16" s="504">
        <f t="shared" ref="M16:M24" si="3">SUM(K16:L16)</f>
        <v>1000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1000</v>
      </c>
      <c r="J18" s="154">
        <v>1000</v>
      </c>
      <c r="K18" s="254">
        <v>1000</v>
      </c>
      <c r="L18" s="154">
        <v>0</v>
      </c>
      <c r="M18" s="504">
        <f t="shared" si="3"/>
        <v>1000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1000</v>
      </c>
      <c r="J19" s="154">
        <v>1000</v>
      </c>
      <c r="K19" s="254">
        <v>1100</v>
      </c>
      <c r="L19" s="154">
        <v>0</v>
      </c>
      <c r="M19" s="504">
        <f t="shared" si="3"/>
        <v>1100</v>
      </c>
      <c r="N19" s="539">
        <f t="shared" si="0"/>
        <v>110.00000000000001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1000</v>
      </c>
      <c r="J22" s="154">
        <v>1000</v>
      </c>
      <c r="K22" s="254">
        <v>1000</v>
      </c>
      <c r="L22" s="154">
        <v>0</v>
      </c>
      <c r="M22" s="504">
        <f t="shared" si="3"/>
        <v>1000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0</v>
      </c>
      <c r="L23" s="154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1000</v>
      </c>
      <c r="J24" s="154">
        <v>1000</v>
      </c>
      <c r="K24" s="254">
        <v>1000</v>
      </c>
      <c r="L24" s="154">
        <v>0</v>
      </c>
      <c r="M24" s="504">
        <f t="shared" si="3"/>
        <v>1000</v>
      </c>
      <c r="N24" s="539">
        <f t="shared" si="0"/>
        <v>100</v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2000</v>
      </c>
      <c r="J26" s="153">
        <f t="shared" si="4"/>
        <v>2000</v>
      </c>
      <c r="K26" s="319">
        <f>SUM(K27:K28)</f>
        <v>2000</v>
      </c>
      <c r="L26" s="153">
        <f>SUM(L27:L28)</f>
        <v>0</v>
      </c>
      <c r="M26" s="476">
        <f>SUM(M27:M28)</f>
        <v>2000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2000</v>
      </c>
      <c r="J28" s="154">
        <v>2000</v>
      </c>
      <c r="K28" s="254">
        <v>2000</v>
      </c>
      <c r="L28" s="154">
        <v>0</v>
      </c>
      <c r="M28" s="504">
        <f t="shared" si="5"/>
        <v>2000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3</v>
      </c>
      <c r="J30" s="153">
        <v>3</v>
      </c>
      <c r="K30" s="319">
        <v>3</v>
      </c>
      <c r="L30" s="153"/>
      <c r="M30" s="476">
        <v>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127240</v>
      </c>
      <c r="J31" s="14">
        <f>J8+J12+J15+J26</f>
        <v>127240</v>
      </c>
      <c r="K31" s="262">
        <f>K8+K12+K15+K26</f>
        <v>130350</v>
      </c>
      <c r="L31" s="14">
        <f>L8+L12+L15+L26</f>
        <v>0</v>
      </c>
      <c r="M31" s="476">
        <f>M8+M12+M15+M26</f>
        <v>130350</v>
      </c>
      <c r="N31" s="538">
        <f>IF(J31=0,"",M31/J31*100)</f>
        <v>102.44419993712668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>I31+'12'!I31</f>
        <v>187130</v>
      </c>
      <c r="J32" s="14">
        <f>J31+'12'!J31</f>
        <v>187130</v>
      </c>
      <c r="K32" s="262">
        <f>K31+'12'!K31</f>
        <v>193240</v>
      </c>
      <c r="L32" s="14">
        <f>L31+'12'!L31</f>
        <v>0</v>
      </c>
      <c r="M32" s="476">
        <f>M31+'12'!M31</f>
        <v>193240</v>
      </c>
      <c r="N32" s="538">
        <f>IF(J32=0,"",M32/J32*100)</f>
        <v>103.26510981670496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/>
      <c r="J33" s="14"/>
      <c r="K33" s="262"/>
      <c r="L33" s="14"/>
      <c r="M33" s="476"/>
      <c r="N33" s="538"/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3"/>
  <sheetViews>
    <sheetView zoomScaleNormal="100" workbookViewId="0">
      <selection activeCell="F26" sqref="F26"/>
    </sheetView>
  </sheetViews>
  <sheetFormatPr defaultRowHeight="12.75" x14ac:dyDescent="0.2"/>
  <cols>
    <col min="1" max="1" width="3.28515625" style="34" customWidth="1"/>
    <col min="7" max="7" width="10.7109375" customWidth="1"/>
    <col min="8" max="8" width="0.140625" hidden="1" customWidth="1"/>
    <col min="9" max="9" width="2.7109375" hidden="1" customWidth="1"/>
    <col min="10" max="10" width="8.28515625" style="34" customWidth="1"/>
    <col min="11" max="11" width="2.42578125" customWidth="1"/>
    <col min="12" max="12" width="4.140625" customWidth="1"/>
    <col min="19" max="19" width="3.85546875" customWidth="1"/>
    <col min="20" max="20" width="2.5703125" customWidth="1"/>
    <col min="21" max="21" width="8.5703125" customWidth="1"/>
  </cols>
  <sheetData>
    <row r="1" spans="1:21" ht="15.75" x14ac:dyDescent="0.25">
      <c r="A1" s="614" t="s">
        <v>2</v>
      </c>
      <c r="B1" s="614"/>
      <c r="C1" s="614"/>
      <c r="D1" s="614"/>
      <c r="E1" s="614"/>
      <c r="F1" s="614"/>
      <c r="G1" s="614"/>
      <c r="H1" s="614"/>
      <c r="I1" s="614"/>
    </row>
    <row r="3" spans="1:21" s="38" customFormat="1" x14ac:dyDescent="0.2">
      <c r="A3" s="246" t="s">
        <v>3</v>
      </c>
      <c r="B3" s="611" t="s">
        <v>4</v>
      </c>
      <c r="C3" s="612"/>
      <c r="D3" s="612"/>
      <c r="E3" s="612"/>
      <c r="F3" s="612"/>
      <c r="G3" s="612"/>
      <c r="H3" s="612"/>
      <c r="I3" s="613"/>
      <c r="J3" s="246" t="s">
        <v>5</v>
      </c>
      <c r="L3" s="246" t="s">
        <v>3</v>
      </c>
      <c r="M3" s="611" t="s">
        <v>4</v>
      </c>
      <c r="N3" s="612"/>
      <c r="O3" s="612"/>
      <c r="P3" s="612"/>
      <c r="Q3" s="612"/>
      <c r="R3" s="612"/>
      <c r="S3" s="612"/>
      <c r="T3" s="613"/>
      <c r="U3" s="246" t="s">
        <v>5</v>
      </c>
    </row>
    <row r="4" spans="1:21" s="31" customFormat="1" ht="17.100000000000001" customHeight="1" x14ac:dyDescent="0.2">
      <c r="A4" s="234">
        <v>1</v>
      </c>
      <c r="B4" s="615" t="s">
        <v>6</v>
      </c>
      <c r="C4" s="616"/>
      <c r="D4" s="616"/>
      <c r="E4" s="616"/>
      <c r="F4" s="616"/>
      <c r="G4" s="616"/>
      <c r="H4" s="616"/>
      <c r="I4" s="617"/>
      <c r="J4" s="234">
        <v>3</v>
      </c>
      <c r="K4" s="235"/>
      <c r="L4" s="279">
        <v>30</v>
      </c>
      <c r="M4" s="338" t="s">
        <v>60</v>
      </c>
      <c r="N4" s="339"/>
      <c r="O4" s="339"/>
      <c r="P4" s="339"/>
      <c r="Q4" s="339"/>
      <c r="R4" s="339"/>
      <c r="S4" s="339"/>
      <c r="T4" s="340"/>
      <c r="U4" s="279">
        <v>43</v>
      </c>
    </row>
    <row r="5" spans="1:21" s="31" customFormat="1" ht="17.100000000000001" customHeight="1" x14ac:dyDescent="0.2">
      <c r="A5" s="236">
        <v>2</v>
      </c>
      <c r="B5" s="608" t="s">
        <v>8</v>
      </c>
      <c r="C5" s="609"/>
      <c r="D5" s="609"/>
      <c r="E5" s="609"/>
      <c r="F5" s="609"/>
      <c r="G5" s="609"/>
      <c r="H5" s="609"/>
      <c r="I5" s="610"/>
      <c r="J5" s="236">
        <v>4</v>
      </c>
      <c r="K5" s="235"/>
      <c r="L5" s="236">
        <v>31</v>
      </c>
      <c r="M5" s="288" t="s">
        <v>7</v>
      </c>
      <c r="N5" s="289"/>
      <c r="O5" s="289"/>
      <c r="P5" s="289"/>
      <c r="Q5" s="289"/>
      <c r="R5" s="289"/>
      <c r="S5" s="289"/>
      <c r="T5" s="290"/>
      <c r="U5" s="236">
        <v>44</v>
      </c>
    </row>
    <row r="6" spans="1:21" s="31" customFormat="1" ht="17.100000000000001" customHeight="1" x14ac:dyDescent="0.2">
      <c r="A6" s="236">
        <v>3</v>
      </c>
      <c r="B6" s="608" t="s">
        <v>10</v>
      </c>
      <c r="C6" s="609"/>
      <c r="D6" s="609"/>
      <c r="E6" s="609"/>
      <c r="F6" s="609"/>
      <c r="G6" s="609"/>
      <c r="H6" s="609"/>
      <c r="I6" s="610"/>
      <c r="J6" s="236">
        <v>14</v>
      </c>
      <c r="K6" s="235"/>
      <c r="L6" s="236">
        <v>32</v>
      </c>
      <c r="M6" s="288" t="s">
        <v>9</v>
      </c>
      <c r="N6" s="289"/>
      <c r="O6" s="289"/>
      <c r="P6" s="289"/>
      <c r="Q6" s="289"/>
      <c r="R6" s="289"/>
      <c r="S6" s="289"/>
      <c r="T6" s="290"/>
      <c r="U6" s="236">
        <v>45</v>
      </c>
    </row>
    <row r="7" spans="1:21" s="31" customFormat="1" ht="17.100000000000001" customHeight="1" x14ac:dyDescent="0.2">
      <c r="A7" s="234">
        <v>4</v>
      </c>
      <c r="B7" s="608" t="s">
        <v>13</v>
      </c>
      <c r="C7" s="609"/>
      <c r="D7" s="609"/>
      <c r="E7" s="609"/>
      <c r="F7" s="609"/>
      <c r="G7" s="609"/>
      <c r="H7" s="609"/>
      <c r="I7" s="610"/>
      <c r="J7" s="236">
        <v>15</v>
      </c>
      <c r="K7" s="235"/>
      <c r="L7" s="236" t="s">
        <v>11</v>
      </c>
      <c r="M7" s="288" t="s">
        <v>12</v>
      </c>
      <c r="N7" s="289"/>
      <c r="O7" s="289"/>
      <c r="P7" s="289"/>
      <c r="Q7" s="289"/>
      <c r="R7" s="289"/>
      <c r="S7" s="289"/>
      <c r="T7" s="290"/>
      <c r="U7" s="236">
        <v>46</v>
      </c>
    </row>
    <row r="8" spans="1:21" s="31" customFormat="1" ht="17.100000000000001" customHeight="1" x14ac:dyDescent="0.2">
      <c r="A8" s="236">
        <v>5</v>
      </c>
      <c r="B8" s="608" t="s">
        <v>16</v>
      </c>
      <c r="C8" s="609"/>
      <c r="D8" s="609"/>
      <c r="E8" s="609"/>
      <c r="F8" s="609"/>
      <c r="G8" s="609"/>
      <c r="H8" s="609"/>
      <c r="I8" s="610"/>
      <c r="J8" s="236">
        <v>18</v>
      </c>
      <c r="K8" s="235"/>
      <c r="L8" s="236" t="s">
        <v>14</v>
      </c>
      <c r="M8" s="288" t="s">
        <v>15</v>
      </c>
      <c r="N8" s="289"/>
      <c r="O8" s="289"/>
      <c r="P8" s="289"/>
      <c r="Q8" s="289"/>
      <c r="R8" s="289"/>
      <c r="S8" s="289"/>
      <c r="T8" s="290"/>
      <c r="U8" s="236">
        <v>47</v>
      </c>
    </row>
    <row r="9" spans="1:21" s="31" customFormat="1" ht="17.100000000000001" customHeight="1" x14ac:dyDescent="0.2">
      <c r="A9" s="236">
        <v>6</v>
      </c>
      <c r="B9" s="608" t="s">
        <v>19</v>
      </c>
      <c r="C9" s="609"/>
      <c r="D9" s="609"/>
      <c r="E9" s="609"/>
      <c r="F9" s="609"/>
      <c r="G9" s="609"/>
      <c r="H9" s="609"/>
      <c r="I9" s="610"/>
      <c r="J9" s="236">
        <v>19</v>
      </c>
      <c r="K9" s="235"/>
      <c r="L9" s="236" t="s">
        <v>17</v>
      </c>
      <c r="M9" s="288" t="s">
        <v>18</v>
      </c>
      <c r="N9" s="289"/>
      <c r="O9" s="289"/>
      <c r="P9" s="289"/>
      <c r="Q9" s="289"/>
      <c r="R9" s="289"/>
      <c r="S9" s="289"/>
      <c r="T9" s="290"/>
      <c r="U9" s="236">
        <v>48</v>
      </c>
    </row>
    <row r="10" spans="1:21" s="31" customFormat="1" ht="17.100000000000001" customHeight="1" x14ac:dyDescent="0.2">
      <c r="A10" s="234">
        <v>7</v>
      </c>
      <c r="B10" s="288" t="s">
        <v>22</v>
      </c>
      <c r="C10" s="289"/>
      <c r="D10" s="289"/>
      <c r="E10" s="289"/>
      <c r="F10" s="289"/>
      <c r="G10" s="289"/>
      <c r="H10" s="289"/>
      <c r="I10" s="290"/>
      <c r="J10" s="236">
        <v>20</v>
      </c>
      <c r="K10" s="235"/>
      <c r="L10" s="236" t="s">
        <v>20</v>
      </c>
      <c r="M10" s="288" t="s">
        <v>21</v>
      </c>
      <c r="N10" s="289"/>
      <c r="O10" s="289"/>
      <c r="P10" s="289"/>
      <c r="Q10" s="289"/>
      <c r="R10" s="289"/>
      <c r="S10" s="289"/>
      <c r="T10" s="290"/>
      <c r="U10" s="236">
        <v>49</v>
      </c>
    </row>
    <row r="11" spans="1:21" s="31" customFormat="1" ht="17.100000000000001" customHeight="1" x14ac:dyDescent="0.2">
      <c r="A11" s="236">
        <v>8</v>
      </c>
      <c r="B11" s="288" t="s">
        <v>25</v>
      </c>
      <c r="C11" s="289"/>
      <c r="D11" s="289"/>
      <c r="E11" s="289"/>
      <c r="F11" s="289"/>
      <c r="G11" s="289"/>
      <c r="H11" s="289"/>
      <c r="I11" s="290"/>
      <c r="J11" s="236">
        <v>21</v>
      </c>
      <c r="K11" s="235"/>
      <c r="L11" s="236" t="s">
        <v>23</v>
      </c>
      <c r="M11" s="288" t="s">
        <v>24</v>
      </c>
      <c r="N11" s="289"/>
      <c r="O11" s="289"/>
      <c r="P11" s="289"/>
      <c r="Q11" s="289"/>
      <c r="R11" s="289"/>
      <c r="S11" s="289"/>
      <c r="T11" s="290"/>
      <c r="U11" s="236">
        <v>50</v>
      </c>
    </row>
    <row r="12" spans="1:21" s="31" customFormat="1" ht="17.100000000000001" customHeight="1" x14ac:dyDescent="0.2">
      <c r="A12" s="236">
        <v>9</v>
      </c>
      <c r="B12" s="288" t="s">
        <v>828</v>
      </c>
      <c r="C12" s="289"/>
      <c r="D12" s="289"/>
      <c r="E12" s="289"/>
      <c r="F12" s="289"/>
      <c r="G12" s="289"/>
      <c r="H12" s="289"/>
      <c r="I12" s="290"/>
      <c r="J12" s="236">
        <v>22</v>
      </c>
      <c r="K12" s="235"/>
      <c r="L12" s="236" t="s">
        <v>26</v>
      </c>
      <c r="M12" s="288" t="s">
        <v>27</v>
      </c>
      <c r="N12" s="289"/>
      <c r="O12" s="289"/>
      <c r="P12" s="289"/>
      <c r="Q12" s="289"/>
      <c r="R12" s="289"/>
      <c r="S12" s="289"/>
      <c r="T12" s="290"/>
      <c r="U12" s="236">
        <v>51</v>
      </c>
    </row>
    <row r="13" spans="1:21" s="31" customFormat="1" ht="17.100000000000001" customHeight="1" x14ac:dyDescent="0.2">
      <c r="A13" s="234">
        <v>10</v>
      </c>
      <c r="B13" s="288" t="s">
        <v>30</v>
      </c>
      <c r="C13" s="289"/>
      <c r="D13" s="289"/>
      <c r="E13" s="289"/>
      <c r="F13" s="289"/>
      <c r="G13" s="289"/>
      <c r="H13" s="289"/>
      <c r="I13" s="290"/>
      <c r="J13" s="236">
        <v>23</v>
      </c>
      <c r="K13" s="235"/>
      <c r="L13" s="236" t="s">
        <v>28</v>
      </c>
      <c r="M13" s="288" t="s">
        <v>29</v>
      </c>
      <c r="N13" s="289"/>
      <c r="O13" s="289"/>
      <c r="P13" s="289"/>
      <c r="Q13" s="289"/>
      <c r="R13" s="289"/>
      <c r="S13" s="289"/>
      <c r="T13" s="290"/>
      <c r="U13" s="236">
        <v>52</v>
      </c>
    </row>
    <row r="14" spans="1:21" s="31" customFormat="1" ht="17.100000000000001" customHeight="1" x14ac:dyDescent="0.2">
      <c r="A14" s="236">
        <v>11</v>
      </c>
      <c r="B14" s="288" t="s">
        <v>827</v>
      </c>
      <c r="C14" s="289"/>
      <c r="D14" s="289"/>
      <c r="E14" s="289"/>
      <c r="F14" s="289"/>
      <c r="G14" s="289"/>
      <c r="H14" s="289"/>
      <c r="I14" s="290"/>
      <c r="J14" s="236">
        <v>24</v>
      </c>
      <c r="K14" s="235"/>
      <c r="L14" s="236" t="s">
        <v>31</v>
      </c>
      <c r="M14" s="288" t="s">
        <v>32</v>
      </c>
      <c r="N14" s="289"/>
      <c r="O14" s="289"/>
      <c r="P14" s="289"/>
      <c r="Q14" s="289"/>
      <c r="R14" s="289"/>
      <c r="S14" s="289"/>
      <c r="T14" s="290"/>
      <c r="U14" s="236">
        <v>53</v>
      </c>
    </row>
    <row r="15" spans="1:21" s="31" customFormat="1" ht="17.100000000000001" customHeight="1" x14ac:dyDescent="0.2">
      <c r="A15" s="236">
        <v>12</v>
      </c>
      <c r="B15" s="288" t="s">
        <v>33</v>
      </c>
      <c r="C15" s="289"/>
      <c r="D15" s="289"/>
      <c r="E15" s="289"/>
      <c r="F15" s="289"/>
      <c r="G15" s="289"/>
      <c r="H15" s="289"/>
      <c r="I15" s="290"/>
      <c r="J15" s="236">
        <v>25</v>
      </c>
      <c r="K15" s="235"/>
      <c r="L15" s="236" t="s">
        <v>34</v>
      </c>
      <c r="M15" s="288" t="s">
        <v>35</v>
      </c>
      <c r="N15" s="289"/>
      <c r="O15" s="289"/>
      <c r="P15" s="289"/>
      <c r="Q15" s="289"/>
      <c r="R15" s="289"/>
      <c r="S15" s="289"/>
      <c r="T15" s="290"/>
      <c r="U15" s="236">
        <v>54</v>
      </c>
    </row>
    <row r="16" spans="1:21" s="31" customFormat="1" ht="17.100000000000001" customHeight="1" x14ac:dyDescent="0.2">
      <c r="A16" s="234">
        <v>13</v>
      </c>
      <c r="B16" s="288" t="s">
        <v>36</v>
      </c>
      <c r="C16" s="289"/>
      <c r="D16" s="289"/>
      <c r="E16" s="289"/>
      <c r="F16" s="289"/>
      <c r="G16" s="289"/>
      <c r="H16" s="289"/>
      <c r="I16" s="290"/>
      <c r="J16" s="236">
        <v>26</v>
      </c>
      <c r="K16" s="235"/>
      <c r="L16" s="236" t="s">
        <v>37</v>
      </c>
      <c r="M16" s="288" t="s">
        <v>38</v>
      </c>
      <c r="N16" s="289"/>
      <c r="O16" s="289"/>
      <c r="P16" s="289"/>
      <c r="Q16" s="289"/>
      <c r="R16" s="289"/>
      <c r="S16" s="289"/>
      <c r="T16" s="290"/>
      <c r="U16" s="236">
        <v>55</v>
      </c>
    </row>
    <row r="17" spans="1:21" s="31" customFormat="1" ht="17.100000000000001" customHeight="1" x14ac:dyDescent="0.2">
      <c r="A17" s="236">
        <v>14</v>
      </c>
      <c r="B17" s="288" t="s">
        <v>39</v>
      </c>
      <c r="C17" s="289"/>
      <c r="D17" s="289"/>
      <c r="E17" s="289"/>
      <c r="F17" s="289"/>
      <c r="G17" s="289"/>
      <c r="H17" s="289"/>
      <c r="I17" s="290"/>
      <c r="J17" s="236">
        <v>27</v>
      </c>
      <c r="K17" s="235"/>
      <c r="L17" s="236" t="s">
        <v>40</v>
      </c>
      <c r="M17" s="288" t="s">
        <v>801</v>
      </c>
      <c r="N17" s="575"/>
      <c r="O17" s="575"/>
      <c r="P17" s="575"/>
      <c r="Q17" s="575"/>
      <c r="R17" s="575"/>
      <c r="S17" s="575"/>
      <c r="T17" s="576"/>
      <c r="U17" s="236">
        <v>56</v>
      </c>
    </row>
    <row r="18" spans="1:21" s="31" customFormat="1" ht="17.100000000000001" customHeight="1" x14ac:dyDescent="0.2">
      <c r="A18" s="236">
        <v>15</v>
      </c>
      <c r="B18" s="288" t="s">
        <v>41</v>
      </c>
      <c r="C18" s="289"/>
      <c r="D18" s="289"/>
      <c r="E18" s="289"/>
      <c r="F18" s="289"/>
      <c r="G18" s="289"/>
      <c r="H18" s="289"/>
      <c r="I18" s="290"/>
      <c r="J18" s="236">
        <v>28</v>
      </c>
      <c r="K18" s="235"/>
      <c r="L18" s="236" t="s">
        <v>42</v>
      </c>
      <c r="M18" s="288" t="s">
        <v>802</v>
      </c>
      <c r="N18" s="289"/>
      <c r="O18" s="289"/>
      <c r="P18" s="289"/>
      <c r="Q18" s="289"/>
      <c r="R18" s="289"/>
      <c r="S18" s="289"/>
      <c r="T18" s="290"/>
      <c r="U18" s="236">
        <v>58</v>
      </c>
    </row>
    <row r="19" spans="1:21" s="31" customFormat="1" ht="17.100000000000001" customHeight="1" x14ac:dyDescent="0.2">
      <c r="A19" s="234">
        <v>16</v>
      </c>
      <c r="B19" s="288" t="s">
        <v>43</v>
      </c>
      <c r="C19" s="289"/>
      <c r="D19" s="289"/>
      <c r="E19" s="289"/>
      <c r="F19" s="289"/>
      <c r="G19" s="289"/>
      <c r="H19" s="289"/>
      <c r="I19" s="290"/>
      <c r="J19" s="236">
        <v>29</v>
      </c>
      <c r="K19" s="235"/>
      <c r="L19" s="236" t="s">
        <v>44</v>
      </c>
      <c r="M19" s="288" t="s">
        <v>803</v>
      </c>
      <c r="N19" s="289"/>
      <c r="O19" s="289"/>
      <c r="P19" s="289"/>
      <c r="Q19" s="289"/>
      <c r="R19" s="289"/>
      <c r="S19" s="289"/>
      <c r="T19" s="290"/>
      <c r="U19" s="236">
        <v>60</v>
      </c>
    </row>
    <row r="20" spans="1:21" s="31" customFormat="1" ht="17.100000000000001" customHeight="1" x14ac:dyDescent="0.2">
      <c r="A20" s="236">
        <v>17</v>
      </c>
      <c r="B20" s="288" t="s">
        <v>45</v>
      </c>
      <c r="C20" s="289"/>
      <c r="D20" s="289"/>
      <c r="E20" s="289"/>
      <c r="F20" s="289"/>
      <c r="G20" s="289"/>
      <c r="H20" s="289"/>
      <c r="I20" s="290"/>
      <c r="J20" s="236">
        <v>30</v>
      </c>
      <c r="K20" s="235"/>
      <c r="L20" s="236" t="s">
        <v>46</v>
      </c>
      <c r="M20" s="288" t="s">
        <v>804</v>
      </c>
      <c r="N20" s="289"/>
      <c r="O20" s="289"/>
      <c r="P20" s="289"/>
      <c r="Q20" s="289"/>
      <c r="R20" s="289"/>
      <c r="S20" s="289"/>
      <c r="T20" s="290"/>
      <c r="U20" s="236">
        <v>63</v>
      </c>
    </row>
    <row r="21" spans="1:21" s="31" customFormat="1" ht="17.100000000000001" customHeight="1" x14ac:dyDescent="0.2">
      <c r="A21" s="236">
        <v>18</v>
      </c>
      <c r="B21" s="288" t="s">
        <v>48</v>
      </c>
      <c r="C21" s="289"/>
      <c r="D21" s="289"/>
      <c r="E21" s="289"/>
      <c r="F21" s="289"/>
      <c r="G21" s="289"/>
      <c r="H21" s="289"/>
      <c r="I21" s="290"/>
      <c r="J21" s="236">
        <v>31</v>
      </c>
      <c r="K21" s="235"/>
      <c r="L21" s="237" t="s">
        <v>770</v>
      </c>
      <c r="M21" s="335" t="s">
        <v>47</v>
      </c>
      <c r="N21" s="336"/>
      <c r="O21" s="336"/>
      <c r="P21" s="336"/>
      <c r="Q21" s="336"/>
      <c r="R21" s="336"/>
      <c r="S21" s="336"/>
      <c r="T21" s="337"/>
      <c r="U21" s="237">
        <v>65</v>
      </c>
    </row>
    <row r="22" spans="1:21" s="31" customFormat="1" ht="17.100000000000001" customHeight="1" x14ac:dyDescent="0.2">
      <c r="A22" s="234">
        <v>19</v>
      </c>
      <c r="B22" s="288" t="s">
        <v>49</v>
      </c>
      <c r="C22" s="289"/>
      <c r="D22" s="289"/>
      <c r="E22" s="289"/>
      <c r="F22" s="289"/>
      <c r="G22" s="289"/>
      <c r="H22" s="289"/>
      <c r="I22" s="290"/>
      <c r="J22" s="236">
        <v>32</v>
      </c>
      <c r="K22" s="235"/>
      <c r="L22" s="235"/>
      <c r="M22" s="280"/>
      <c r="N22" s="235"/>
      <c r="O22" s="235"/>
      <c r="P22" s="235"/>
      <c r="Q22" s="235"/>
      <c r="R22" s="235"/>
      <c r="S22" s="235"/>
      <c r="T22" s="235"/>
      <c r="U22" s="235"/>
    </row>
    <row r="23" spans="1:21" s="31" customFormat="1" ht="17.100000000000001" customHeight="1" x14ac:dyDescent="0.2">
      <c r="A23" s="236">
        <v>20</v>
      </c>
      <c r="B23" s="288" t="s">
        <v>50</v>
      </c>
      <c r="C23" s="289"/>
      <c r="D23" s="289"/>
      <c r="E23" s="289"/>
      <c r="F23" s="289"/>
      <c r="G23" s="289"/>
      <c r="H23" s="289"/>
      <c r="I23" s="290"/>
      <c r="J23" s="236">
        <v>33</v>
      </c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</row>
    <row r="24" spans="1:21" s="31" customFormat="1" ht="17.100000000000001" customHeight="1" x14ac:dyDescent="0.2">
      <c r="A24" s="236">
        <v>21</v>
      </c>
      <c r="B24" s="288" t="s">
        <v>51</v>
      </c>
      <c r="C24" s="289"/>
      <c r="D24" s="289"/>
      <c r="E24" s="289"/>
      <c r="F24" s="289"/>
      <c r="G24" s="289"/>
      <c r="H24" s="289"/>
      <c r="I24" s="290"/>
      <c r="J24" s="236">
        <v>34</v>
      </c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</row>
    <row r="25" spans="1:21" s="31" customFormat="1" ht="17.100000000000001" customHeight="1" x14ac:dyDescent="0.2">
      <c r="A25" s="234">
        <v>22</v>
      </c>
      <c r="B25" s="288" t="s">
        <v>52</v>
      </c>
      <c r="C25" s="289"/>
      <c r="D25" s="289"/>
      <c r="E25" s="289"/>
      <c r="F25" s="289"/>
      <c r="G25" s="289"/>
      <c r="H25" s="289"/>
      <c r="I25" s="290"/>
      <c r="J25" s="236">
        <v>35</v>
      </c>
      <c r="K25" s="235"/>
      <c r="L25" s="235"/>
      <c r="M25" s="235"/>
      <c r="N25" s="235"/>
      <c r="O25" s="235"/>
      <c r="P25" s="235"/>
      <c r="Q25" s="235"/>
      <c r="R25" s="235"/>
      <c r="S25" s="235"/>
      <c r="T25" s="235"/>
      <c r="U25" s="235"/>
    </row>
    <row r="26" spans="1:21" s="31" customFormat="1" ht="17.100000000000001" customHeight="1" x14ac:dyDescent="0.2">
      <c r="A26" s="236">
        <v>23</v>
      </c>
      <c r="B26" s="288" t="s">
        <v>53</v>
      </c>
      <c r="C26" s="289"/>
      <c r="D26" s="289"/>
      <c r="E26" s="289"/>
      <c r="F26" s="289"/>
      <c r="G26" s="289"/>
      <c r="H26" s="289"/>
      <c r="I26" s="290"/>
      <c r="J26" s="236">
        <v>36</v>
      </c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</row>
    <row r="27" spans="1:21" s="31" customFormat="1" ht="17.100000000000001" customHeight="1" x14ac:dyDescent="0.2">
      <c r="A27" s="236">
        <v>24</v>
      </c>
      <c r="B27" s="288" t="s">
        <v>54</v>
      </c>
      <c r="C27" s="289"/>
      <c r="D27" s="289"/>
      <c r="E27" s="289"/>
      <c r="F27" s="289"/>
      <c r="G27" s="289"/>
      <c r="H27" s="289"/>
      <c r="I27" s="290"/>
      <c r="J27" s="236">
        <v>37</v>
      </c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</row>
    <row r="28" spans="1:21" s="31" customFormat="1" ht="17.100000000000001" customHeight="1" x14ac:dyDescent="0.2">
      <c r="A28" s="234">
        <v>25</v>
      </c>
      <c r="B28" s="288" t="s">
        <v>55</v>
      </c>
      <c r="C28" s="289"/>
      <c r="D28" s="289"/>
      <c r="E28" s="289"/>
      <c r="F28" s="289"/>
      <c r="G28" s="289"/>
      <c r="H28" s="289"/>
      <c r="I28" s="290"/>
      <c r="J28" s="236">
        <v>38</v>
      </c>
      <c r="K28" s="235"/>
      <c r="L28" s="235"/>
      <c r="M28" s="235"/>
      <c r="N28" s="235"/>
      <c r="O28" s="235"/>
      <c r="P28" s="235"/>
      <c r="Q28" s="235"/>
      <c r="R28" s="235"/>
      <c r="S28" s="235"/>
      <c r="T28" s="235"/>
      <c r="U28" s="235"/>
    </row>
    <row r="29" spans="1:21" s="31" customFormat="1" ht="17.100000000000001" customHeight="1" x14ac:dyDescent="0.2">
      <c r="A29" s="236">
        <v>26</v>
      </c>
      <c r="B29" s="288" t="s">
        <v>56</v>
      </c>
      <c r="C29" s="289"/>
      <c r="D29" s="289"/>
      <c r="E29" s="289"/>
      <c r="F29" s="289"/>
      <c r="G29" s="289"/>
      <c r="H29" s="289"/>
      <c r="I29" s="290"/>
      <c r="J29" s="236">
        <v>39</v>
      </c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</row>
    <row r="30" spans="1:21" ht="17.100000000000001" customHeight="1" x14ac:dyDescent="0.2">
      <c r="A30" s="236">
        <v>27</v>
      </c>
      <c r="B30" s="288" t="s">
        <v>57</v>
      </c>
      <c r="C30" s="289"/>
      <c r="D30" s="289"/>
      <c r="E30" s="289"/>
      <c r="F30" s="289"/>
      <c r="G30" s="289"/>
      <c r="H30" s="289"/>
      <c r="I30" s="290"/>
      <c r="J30" s="236">
        <v>40</v>
      </c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</row>
    <row r="31" spans="1:21" ht="17.100000000000001" customHeight="1" x14ac:dyDescent="0.2">
      <c r="A31" s="234">
        <v>28</v>
      </c>
      <c r="B31" s="288" t="s">
        <v>58</v>
      </c>
      <c r="C31" s="289"/>
      <c r="D31" s="289"/>
      <c r="E31" s="289"/>
      <c r="F31" s="289"/>
      <c r="G31" s="289"/>
      <c r="H31" s="289"/>
      <c r="I31" s="290"/>
      <c r="J31" s="236">
        <v>41</v>
      </c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</row>
    <row r="32" spans="1:21" ht="17.100000000000001" customHeight="1" x14ac:dyDescent="0.2">
      <c r="A32" s="237">
        <v>29</v>
      </c>
      <c r="B32" s="335" t="s">
        <v>59</v>
      </c>
      <c r="C32" s="336"/>
      <c r="D32" s="336"/>
      <c r="E32" s="336"/>
      <c r="F32" s="336"/>
      <c r="G32" s="336"/>
      <c r="H32" s="336"/>
      <c r="I32" s="337"/>
      <c r="J32" s="237">
        <v>42</v>
      </c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</row>
    <row r="33" ht="17.100000000000001" customHeight="1" x14ac:dyDescent="0.2"/>
  </sheetData>
  <mergeCells count="9">
    <mergeCell ref="B9:I9"/>
    <mergeCell ref="M3:T3"/>
    <mergeCell ref="A1:I1"/>
    <mergeCell ref="B5:I5"/>
    <mergeCell ref="B3:I3"/>
    <mergeCell ref="B8:I8"/>
    <mergeCell ref="B7:I7"/>
    <mergeCell ref="B6:I6"/>
    <mergeCell ref="B4:I4"/>
  </mergeCells>
  <phoneticPr fontId="0" type="noConversion"/>
  <pageMargins left="0.94" right="0.21" top="0.62992125984251968" bottom="0.47244094488188981" header="0.51181102362204722" footer="0.43307086614173229"/>
  <pageSetup paperSize="9" scale="95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45"/>
  <dimension ref="B1:N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488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480</v>
      </c>
      <c r="C7" s="7" t="s">
        <v>489</v>
      </c>
      <c r="D7" s="7" t="s">
        <v>452</v>
      </c>
      <c r="E7" s="286" t="s">
        <v>636</v>
      </c>
      <c r="F7" s="5"/>
      <c r="G7" s="5"/>
      <c r="H7" s="5"/>
      <c r="I7" s="56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112350</v>
      </c>
      <c r="J8" s="153">
        <f>SUM(J9:J11)</f>
        <v>112350</v>
      </c>
      <c r="K8" s="319">
        <f>SUM(K9:K11)</f>
        <v>117150</v>
      </c>
      <c r="L8" s="153">
        <f>SUM(L9:L11)</f>
        <v>0</v>
      </c>
      <c r="M8" s="503">
        <f>SUM(M9:M11)</f>
        <v>117150</v>
      </c>
      <c r="N8" s="538">
        <f t="shared" ref="N8:N29" si="0">IF(J8=0,"",M8/J8*100)</f>
        <v>104.27236315086783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97150+100</f>
        <v>97250</v>
      </c>
      <c r="J9" s="154">
        <f>97150+100</f>
        <v>97250</v>
      </c>
      <c r="K9" s="254">
        <f>99780+3300-12*700+2500</f>
        <v>97180</v>
      </c>
      <c r="L9" s="154">
        <v>0</v>
      </c>
      <c r="M9" s="504">
        <f>SUM(K9:L9)</f>
        <v>97180</v>
      </c>
      <c r="N9" s="539">
        <f t="shared" si="0"/>
        <v>99.9280205655527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13800+100+3*400</f>
        <v>15100</v>
      </c>
      <c r="J10" s="154">
        <f>13800+100+3*400</f>
        <v>15100</v>
      </c>
      <c r="K10" s="254">
        <f>12620+7350</f>
        <v>19970</v>
      </c>
      <c r="L10" s="154">
        <v>0</v>
      </c>
      <c r="M10" s="504">
        <f t="shared" ref="M10" si="1">SUM(K10:L10)</f>
        <v>19970</v>
      </c>
      <c r="N10" s="539">
        <f t="shared" si="0"/>
        <v>132.25165562913907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10240</v>
      </c>
      <c r="J12" s="153">
        <f t="shared" si="2"/>
        <v>10240</v>
      </c>
      <c r="K12" s="319">
        <f>K13</f>
        <v>9770</v>
      </c>
      <c r="L12" s="153">
        <f>L13</f>
        <v>0</v>
      </c>
      <c r="M12" s="503">
        <f>M13</f>
        <v>9770</v>
      </c>
      <c r="N12" s="538">
        <f t="shared" si="0"/>
        <v>95.41015625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10220+20</f>
        <v>10240</v>
      </c>
      <c r="J13" s="154">
        <f>10220+20</f>
        <v>10240</v>
      </c>
      <c r="K13" s="254">
        <f>10570-12*90+280</f>
        <v>9770</v>
      </c>
      <c r="L13" s="154">
        <v>0</v>
      </c>
      <c r="M13" s="504">
        <f>SUM(K13:L13)</f>
        <v>9770</v>
      </c>
      <c r="N13" s="539">
        <f t="shared" si="0"/>
        <v>95.41015625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3">
        <f>SUM(I16:I24)</f>
        <v>6800</v>
      </c>
      <c r="J15" s="153">
        <f>SUM(J16:J24)</f>
        <v>6800</v>
      </c>
      <c r="K15" s="320">
        <f>SUM(K16:K24)</f>
        <v>6600</v>
      </c>
      <c r="L15" s="155">
        <f>SUM(L16:L24)</f>
        <v>0</v>
      </c>
      <c r="M15" s="476">
        <f>SUM(M16:M24)</f>
        <v>6600</v>
      </c>
      <c r="N15" s="538">
        <f t="shared" si="0"/>
        <v>97.058823529411768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1500</v>
      </c>
      <c r="J16" s="154">
        <v>1500</v>
      </c>
      <c r="K16" s="254">
        <v>1300</v>
      </c>
      <c r="L16" s="154">
        <v>0</v>
      </c>
      <c r="M16" s="504">
        <f t="shared" ref="M16:M24" si="3">SUM(K16:L16)</f>
        <v>1300</v>
      </c>
      <c r="N16" s="539">
        <f t="shared" si="0"/>
        <v>86.666666666666671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2000</v>
      </c>
      <c r="J18" s="154">
        <v>2000</v>
      </c>
      <c r="K18" s="254">
        <v>2000</v>
      </c>
      <c r="L18" s="154">
        <v>0</v>
      </c>
      <c r="M18" s="504">
        <f t="shared" si="3"/>
        <v>2000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1000</v>
      </c>
      <c r="J19" s="154">
        <v>1000</v>
      </c>
      <c r="K19" s="254">
        <v>1000</v>
      </c>
      <c r="L19" s="154">
        <v>0</v>
      </c>
      <c r="M19" s="504">
        <f t="shared" si="3"/>
        <v>1000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800</v>
      </c>
      <c r="J22" s="154">
        <v>800</v>
      </c>
      <c r="K22" s="254">
        <v>800</v>
      </c>
      <c r="L22" s="154">
        <v>0</v>
      </c>
      <c r="M22" s="504">
        <f t="shared" si="3"/>
        <v>800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0</v>
      </c>
      <c r="L23" s="154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1500</v>
      </c>
      <c r="J24" s="154">
        <v>1500</v>
      </c>
      <c r="K24" s="254">
        <v>1500</v>
      </c>
      <c r="L24" s="154">
        <v>0</v>
      </c>
      <c r="M24" s="504">
        <f t="shared" si="3"/>
        <v>1500</v>
      </c>
      <c r="N24" s="539">
        <f t="shared" si="0"/>
        <v>100</v>
      </c>
    </row>
    <row r="25" spans="2:14" s="1" customFormat="1" ht="12.95" customHeight="1" x14ac:dyDescent="0.2">
      <c r="B25" s="12"/>
      <c r="C25" s="8"/>
      <c r="D25" s="8"/>
      <c r="E25" s="285"/>
      <c r="F25" s="129"/>
      <c r="G25" s="143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I27+I28</f>
        <v>1000</v>
      </c>
      <c r="J26" s="153">
        <f t="shared" si="4"/>
        <v>1000</v>
      </c>
      <c r="K26" s="319">
        <f>K27+K28</f>
        <v>1000</v>
      </c>
      <c r="L26" s="153">
        <f>L27+L28</f>
        <v>0</v>
      </c>
      <c r="M26" s="476">
        <f>M27+M28</f>
        <v>1000</v>
      </c>
      <c r="N26" s="539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/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1000</v>
      </c>
      <c r="J28" s="154">
        <v>1000</v>
      </c>
      <c r="K28" s="254">
        <v>1000</v>
      </c>
      <c r="L28" s="154"/>
      <c r="M28" s="504">
        <f t="shared" si="5"/>
        <v>1000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3</v>
      </c>
      <c r="J30" s="153">
        <v>3</v>
      </c>
      <c r="K30" s="319">
        <v>3</v>
      </c>
      <c r="L30" s="153"/>
      <c r="M30" s="476">
        <v>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130390</v>
      </c>
      <c r="J31" s="14">
        <f>J8+J12+J15+J26</f>
        <v>130390</v>
      </c>
      <c r="K31" s="262">
        <f>K8+K12+K15+K26</f>
        <v>134520</v>
      </c>
      <c r="L31" s="14">
        <f>L8+L12+L15+L26</f>
        <v>0</v>
      </c>
      <c r="M31" s="476">
        <f>M8+M12+M15+M26</f>
        <v>134520</v>
      </c>
      <c r="N31" s="538">
        <f>IF(J31=0,"",M31/J31*100)</f>
        <v>103.16742081447966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 t="shared" ref="I32" si="6">I31</f>
        <v>130390</v>
      </c>
      <c r="J32" s="14">
        <f t="shared" ref="J32" si="7">J31</f>
        <v>130390</v>
      </c>
      <c r="K32" s="262">
        <f>K31</f>
        <v>134520</v>
      </c>
      <c r="L32" s="14">
        <f>L31</f>
        <v>0</v>
      </c>
      <c r="M32" s="476">
        <f>M31</f>
        <v>134520</v>
      </c>
      <c r="N32" s="538">
        <f>IF(J32=0,"",M32/J32*100)</f>
        <v>103.16742081447966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/>
      <c r="J33" s="14"/>
      <c r="K33" s="262"/>
      <c r="L33" s="14"/>
      <c r="M33" s="476"/>
      <c r="N33" s="538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K36" s="311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N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490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480</v>
      </c>
      <c r="C7" s="7" t="s">
        <v>491</v>
      </c>
      <c r="D7" s="7" t="s">
        <v>452</v>
      </c>
      <c r="E7" s="286" t="s">
        <v>636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74700</v>
      </c>
      <c r="J8" s="153">
        <f>SUM(J9:J10)</f>
        <v>74700</v>
      </c>
      <c r="K8" s="319">
        <f>SUM(K9:K10)</f>
        <v>75990</v>
      </c>
      <c r="L8" s="153">
        <f>SUM(L9:L10)</f>
        <v>0</v>
      </c>
      <c r="M8" s="503">
        <f>SUM(M9:M10)</f>
        <v>75990</v>
      </c>
      <c r="N8" s="538">
        <f t="shared" ref="N8:N29" si="0">IF(J8=0,"",M8/J8*100)</f>
        <v>101.72690763052208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60490+100</f>
        <v>60590</v>
      </c>
      <c r="J9" s="154">
        <f>60490+100</f>
        <v>60590</v>
      </c>
      <c r="K9" s="254">
        <f>62220+1560</f>
        <v>63780</v>
      </c>
      <c r="L9" s="154">
        <v>0</v>
      </c>
      <c r="M9" s="504">
        <f>SUM(K9:L9)</f>
        <v>63780</v>
      </c>
      <c r="N9" s="539">
        <f t="shared" si="0"/>
        <v>105.26489519722726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13210+100+2*400</f>
        <v>14110</v>
      </c>
      <c r="J10" s="154">
        <f>13210+100+2*400</f>
        <v>14110</v>
      </c>
      <c r="K10" s="254">
        <f>12210</f>
        <v>12210</v>
      </c>
      <c r="L10" s="154">
        <v>0</v>
      </c>
      <c r="M10" s="504">
        <f t="shared" ref="M10" si="1">SUM(K10:L10)</f>
        <v>12210</v>
      </c>
      <c r="N10" s="539">
        <f t="shared" si="0"/>
        <v>86.534372785258682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6390</v>
      </c>
      <c r="J12" s="153">
        <f t="shared" si="2"/>
        <v>6390</v>
      </c>
      <c r="K12" s="319">
        <f>K13</f>
        <v>6750</v>
      </c>
      <c r="L12" s="153">
        <f>L13</f>
        <v>0</v>
      </c>
      <c r="M12" s="503">
        <f>M13</f>
        <v>6750</v>
      </c>
      <c r="N12" s="538">
        <f t="shared" si="0"/>
        <v>105.63380281690141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6370+20</f>
        <v>6390</v>
      </c>
      <c r="J13" s="154">
        <f>6370+20</f>
        <v>6390</v>
      </c>
      <c r="K13" s="254">
        <f>6580+170</f>
        <v>6750</v>
      </c>
      <c r="L13" s="154">
        <v>0</v>
      </c>
      <c r="M13" s="504">
        <f>SUM(K13:L13)</f>
        <v>6750</v>
      </c>
      <c r="N13" s="539">
        <f t="shared" si="0"/>
        <v>105.63380281690141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5100</v>
      </c>
      <c r="J15" s="155">
        <f>SUM(J16:J24)</f>
        <v>5100</v>
      </c>
      <c r="K15" s="320">
        <f>SUM(K16:K24)</f>
        <v>5100</v>
      </c>
      <c r="L15" s="155">
        <f>SUM(L16:L24)</f>
        <v>0</v>
      </c>
      <c r="M15" s="476">
        <f>SUM(M16:M24)</f>
        <v>5100</v>
      </c>
      <c r="N15" s="538">
        <f t="shared" si="0"/>
        <v>100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1000</v>
      </c>
      <c r="J16" s="154">
        <v>1000</v>
      </c>
      <c r="K16" s="254">
        <v>1000</v>
      </c>
      <c r="L16" s="154">
        <v>0</v>
      </c>
      <c r="M16" s="504">
        <f t="shared" ref="M16:M24" si="3">SUM(K16:L16)</f>
        <v>1000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600</v>
      </c>
      <c r="J18" s="154">
        <v>600</v>
      </c>
      <c r="K18" s="254">
        <v>600</v>
      </c>
      <c r="L18" s="154">
        <v>0</v>
      </c>
      <c r="M18" s="504">
        <f t="shared" si="3"/>
        <v>600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1000</v>
      </c>
      <c r="J19" s="154">
        <v>1000</v>
      </c>
      <c r="K19" s="254">
        <v>1000</v>
      </c>
      <c r="L19" s="154">
        <v>0</v>
      </c>
      <c r="M19" s="504">
        <f t="shared" si="3"/>
        <v>1000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500</v>
      </c>
      <c r="J22" s="154">
        <v>500</v>
      </c>
      <c r="K22" s="254">
        <v>500</v>
      </c>
      <c r="L22" s="154">
        <v>0</v>
      </c>
      <c r="M22" s="504">
        <f t="shared" si="3"/>
        <v>500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0</v>
      </c>
      <c r="L23" s="154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2000</v>
      </c>
      <c r="J24" s="154">
        <v>2000</v>
      </c>
      <c r="K24" s="254">
        <v>2000</v>
      </c>
      <c r="L24" s="154">
        <v>0</v>
      </c>
      <c r="M24" s="504">
        <f t="shared" si="3"/>
        <v>2000</v>
      </c>
      <c r="N24" s="539">
        <f t="shared" si="0"/>
        <v>100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8000</v>
      </c>
      <c r="J26" s="153">
        <f t="shared" si="4"/>
        <v>8000</v>
      </c>
      <c r="K26" s="319">
        <f>SUM(K27:K28)</f>
        <v>10000</v>
      </c>
      <c r="L26" s="153">
        <f>SUM(L27:L28)</f>
        <v>0</v>
      </c>
      <c r="M26" s="476">
        <f>SUM(M27:M28)</f>
        <v>10000</v>
      </c>
      <c r="N26" s="538">
        <f t="shared" si="0"/>
        <v>125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8000</v>
      </c>
      <c r="J28" s="154">
        <v>8000</v>
      </c>
      <c r="K28" s="254">
        <v>10000</v>
      </c>
      <c r="L28" s="154">
        <v>0</v>
      </c>
      <c r="M28" s="504">
        <f t="shared" si="5"/>
        <v>10000</v>
      </c>
      <c r="N28" s="539">
        <f t="shared" si="0"/>
        <v>125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835</v>
      </c>
      <c r="J30" s="269" t="s">
        <v>835</v>
      </c>
      <c r="K30" s="321">
        <v>2</v>
      </c>
      <c r="L30" s="269"/>
      <c r="M30" s="471">
        <v>2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94190</v>
      </c>
      <c r="J31" s="14">
        <f>J8+J12+J15+J26</f>
        <v>94190</v>
      </c>
      <c r="K31" s="262">
        <f>K8+K12+K15+K26</f>
        <v>97840</v>
      </c>
      <c r="L31" s="14">
        <f>L8+L12+L15+L26</f>
        <v>0</v>
      </c>
      <c r="M31" s="476">
        <f>M8+M12+M15+M26</f>
        <v>97840</v>
      </c>
      <c r="N31" s="538">
        <f>IF(J31=0,"",M31/J31*100)</f>
        <v>103.8751459815267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 t="shared" ref="I32" si="6">I31</f>
        <v>94190</v>
      </c>
      <c r="J32" s="14">
        <f t="shared" ref="J32" si="7">J31</f>
        <v>94190</v>
      </c>
      <c r="K32" s="262">
        <f t="shared" ref="K32:M32" si="8">K31</f>
        <v>97840</v>
      </c>
      <c r="L32" s="14">
        <f t="shared" si="8"/>
        <v>0</v>
      </c>
      <c r="M32" s="476">
        <f t="shared" si="8"/>
        <v>97840</v>
      </c>
      <c r="N32" s="538">
        <f>IF(J32=0,"",M32/J32*100)</f>
        <v>103.8751459815267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>I32+'14'!I32+'13'!I32+'11'!I33+'10'!I33</f>
        <v>3005760</v>
      </c>
      <c r="J33" s="14">
        <f>J32+'14'!J32+'13'!J32+'11'!J33+'10'!J33</f>
        <v>3005760</v>
      </c>
      <c r="K33" s="262">
        <f>K32+'14'!K32+'13'!K32+'11'!K33+'10'!K33</f>
        <v>3180230</v>
      </c>
      <c r="L33" s="14">
        <f>L32+'14'!L32+'13'!L32+'11'!L33+'10'!L33</f>
        <v>0</v>
      </c>
      <c r="M33" s="476">
        <f>M32+'14'!M32+'13'!M32+'11'!M33+'10'!M33</f>
        <v>3180230</v>
      </c>
      <c r="N33" s="538">
        <f>IF(J33=0,"",M33/J33*100)</f>
        <v>105.80452198445651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54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J4:J5"/>
    <mergeCell ref="K4:M4"/>
    <mergeCell ref="N4:N5"/>
    <mergeCell ref="H3:I3"/>
    <mergeCell ref="B4:B5"/>
    <mergeCell ref="C4:C5"/>
    <mergeCell ref="D4:D5"/>
    <mergeCell ref="E4:E5"/>
    <mergeCell ref="F4:F5"/>
    <mergeCell ref="G4:G5"/>
    <mergeCell ref="H4:H5"/>
    <mergeCell ref="I4:I5"/>
  </mergeCells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8"/>
  <dimension ref="B1:P99"/>
  <sheetViews>
    <sheetView topLeftCell="D6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492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  <c r="P2" s="27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493</v>
      </c>
      <c r="C7" s="7" t="s">
        <v>451</v>
      </c>
      <c r="D7" s="7" t="s">
        <v>452</v>
      </c>
      <c r="E7" s="286" t="s">
        <v>662</v>
      </c>
      <c r="F7" s="5"/>
      <c r="G7" s="5"/>
      <c r="H7" s="5"/>
      <c r="I7" s="56"/>
      <c r="J7" s="56"/>
      <c r="K7" s="271"/>
      <c r="L7" s="56"/>
      <c r="M7" s="514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357590</v>
      </c>
      <c r="J8" s="153">
        <f>SUM(J9:J10)</f>
        <v>357590</v>
      </c>
      <c r="K8" s="319">
        <f>SUM(K9:K10)</f>
        <v>426250</v>
      </c>
      <c r="L8" s="153">
        <f>SUM(L9:L10)</f>
        <v>0</v>
      </c>
      <c r="M8" s="503">
        <f>SUM(M9:M10)</f>
        <v>426250</v>
      </c>
      <c r="N8" s="538">
        <f t="shared" ref="N8:N38" si="0">IF(J8=0,"",M8/J8*100)</f>
        <v>119.20076064766911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294480+2*2100+200</f>
        <v>298880</v>
      </c>
      <c r="J9" s="154">
        <f>294480+2*2100+200</f>
        <v>298880</v>
      </c>
      <c r="K9" s="254">
        <f>293520+2230*12+9*2100+12*1700+7340</f>
        <v>366920</v>
      </c>
      <c r="L9" s="154">
        <v>0</v>
      </c>
      <c r="M9" s="504">
        <f>SUM(K9:L9)</f>
        <v>366920</v>
      </c>
      <c r="N9" s="539">
        <f t="shared" si="0"/>
        <v>122.76498929336188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53350+2*380+200+11*400</f>
        <v>58710</v>
      </c>
      <c r="J10" s="154">
        <f>53350+2*380+200+11*400</f>
        <v>58710</v>
      </c>
      <c r="K10" s="254">
        <f>46180+5350+2*3900</f>
        <v>59330</v>
      </c>
      <c r="L10" s="154">
        <v>0</v>
      </c>
      <c r="M10" s="504">
        <f t="shared" ref="M10" si="1">SUM(K10:L10)</f>
        <v>59330</v>
      </c>
      <c r="N10" s="539">
        <f t="shared" si="0"/>
        <v>101.05603815363654</v>
      </c>
    </row>
    <row r="11" spans="2:16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31520</v>
      </c>
      <c r="J12" s="153">
        <f t="shared" si="2"/>
        <v>31520</v>
      </c>
      <c r="K12" s="319">
        <f t="shared" ref="K12" si="3">K13</f>
        <v>39050</v>
      </c>
      <c r="L12" s="153">
        <f t="shared" ref="L12:M12" si="4">L13</f>
        <v>0</v>
      </c>
      <c r="M12" s="503">
        <f t="shared" si="4"/>
        <v>39050</v>
      </c>
      <c r="N12" s="538">
        <f t="shared" si="0"/>
        <v>123.88959390862944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30970+2*250+50</f>
        <v>31520</v>
      </c>
      <c r="J13" s="154">
        <f>30970+2*250+50</f>
        <v>31520</v>
      </c>
      <c r="K13" s="254">
        <f>30800+250*12+9*240+12*190+810</f>
        <v>39050</v>
      </c>
      <c r="L13" s="154">
        <v>0</v>
      </c>
      <c r="M13" s="504">
        <f>SUM(K13:L13)</f>
        <v>39050</v>
      </c>
      <c r="N13" s="539">
        <f t="shared" si="0"/>
        <v>123.88959390862944</v>
      </c>
    </row>
    <row r="14" spans="2:16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3">
        <f>SUM(I16:I25)</f>
        <v>108650</v>
      </c>
      <c r="J15" s="153">
        <f>SUM(J16:J25)</f>
        <v>108650</v>
      </c>
      <c r="K15" s="320">
        <f>SUM(K16:K25)</f>
        <v>30350</v>
      </c>
      <c r="L15" s="155">
        <f>SUM(L16:L25)</f>
        <v>0</v>
      </c>
      <c r="M15" s="476">
        <f>SUM(M16:M25)</f>
        <v>30350</v>
      </c>
      <c r="N15" s="538">
        <f t="shared" si="0"/>
        <v>27.933732167510357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4000</v>
      </c>
      <c r="J16" s="154">
        <v>4000</v>
      </c>
      <c r="K16" s="254">
        <v>4000</v>
      </c>
      <c r="L16" s="154">
        <v>0</v>
      </c>
      <c r="M16" s="504">
        <f t="shared" ref="M16:M25" si="5">SUM(K16:L16)</f>
        <v>4000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5"/>
        <v>0</v>
      </c>
      <c r="N17" s="539" t="str">
        <f t="shared" si="0"/>
        <v/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3250</v>
      </c>
      <c r="J18" s="154">
        <v>3250</v>
      </c>
      <c r="K18" s="254">
        <v>3250</v>
      </c>
      <c r="L18" s="154">
        <v>0</v>
      </c>
      <c r="M18" s="504">
        <f t="shared" si="5"/>
        <v>3250</v>
      </c>
      <c r="N18" s="539">
        <f t="shared" si="0"/>
        <v>100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</v>
      </c>
      <c r="J19" s="154">
        <v>100</v>
      </c>
      <c r="K19" s="254">
        <v>100</v>
      </c>
      <c r="L19" s="154">
        <v>0</v>
      </c>
      <c r="M19" s="504">
        <f t="shared" si="5"/>
        <v>100</v>
      </c>
      <c r="N19" s="539">
        <f t="shared" si="0"/>
        <v>100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5"/>
        <v>0</v>
      </c>
      <c r="N20" s="539" t="str">
        <f t="shared" si="0"/>
        <v/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5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500</v>
      </c>
      <c r="J22" s="154">
        <v>500</v>
      </c>
      <c r="K22" s="254">
        <v>1000</v>
      </c>
      <c r="L22" s="154">
        <v>0</v>
      </c>
      <c r="M22" s="504">
        <f t="shared" si="5"/>
        <v>1000</v>
      </c>
      <c r="N22" s="539">
        <f t="shared" si="0"/>
        <v>200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0</v>
      </c>
      <c r="L23" s="154">
        <v>0</v>
      </c>
      <c r="M23" s="504">
        <f t="shared" si="5"/>
        <v>0</v>
      </c>
      <c r="N23" s="539" t="str">
        <f t="shared" si="0"/>
        <v/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95800</v>
      </c>
      <c r="J24" s="154">
        <v>95800</v>
      </c>
      <c r="K24" s="254">
        <v>22000</v>
      </c>
      <c r="L24" s="154">
        <v>0</v>
      </c>
      <c r="M24" s="504">
        <f t="shared" si="5"/>
        <v>22000</v>
      </c>
      <c r="N24" s="539">
        <f t="shared" si="0"/>
        <v>22.964509394572026</v>
      </c>
    </row>
    <row r="25" spans="2:15" ht="12.95" customHeight="1" x14ac:dyDescent="0.2">
      <c r="B25" s="10"/>
      <c r="C25" s="11"/>
      <c r="D25" s="11"/>
      <c r="E25" s="11"/>
      <c r="F25" s="122">
        <v>613900</v>
      </c>
      <c r="G25" s="136" t="s">
        <v>337</v>
      </c>
      <c r="H25" s="22" t="s">
        <v>494</v>
      </c>
      <c r="I25" s="154">
        <v>5000</v>
      </c>
      <c r="J25" s="154">
        <v>5000</v>
      </c>
      <c r="K25" s="254">
        <v>0</v>
      </c>
      <c r="L25" s="154">
        <v>0</v>
      </c>
      <c r="M25" s="504">
        <f t="shared" si="5"/>
        <v>0</v>
      </c>
      <c r="N25" s="539">
        <f t="shared" si="0"/>
        <v>0</v>
      </c>
      <c r="O25" s="277"/>
    </row>
    <row r="26" spans="2:15" ht="12.95" customHeight="1" x14ac:dyDescent="0.25">
      <c r="B26" s="10"/>
      <c r="C26" s="11"/>
      <c r="D26" s="11"/>
      <c r="E26" s="11"/>
      <c r="F26" s="122"/>
      <c r="G26" s="136"/>
      <c r="H26" s="22"/>
      <c r="I26" s="153"/>
      <c r="J26" s="153"/>
      <c r="K26" s="319"/>
      <c r="L26" s="153"/>
      <c r="M26" s="476"/>
      <c r="N26" s="539" t="str">
        <f t="shared" si="0"/>
        <v/>
      </c>
    </row>
    <row r="27" spans="2:15" s="1" customFormat="1" ht="12.95" customHeight="1" x14ac:dyDescent="0.25">
      <c r="B27" s="12"/>
      <c r="C27" s="8"/>
      <c r="D27" s="8"/>
      <c r="E27" s="8"/>
      <c r="F27" s="121">
        <v>614000</v>
      </c>
      <c r="G27" s="135"/>
      <c r="H27" s="23" t="s">
        <v>339</v>
      </c>
      <c r="I27" s="153">
        <f t="shared" ref="I27" si="6">SUM(I28:I29)</f>
        <v>1360000</v>
      </c>
      <c r="J27" s="153">
        <f t="shared" ref="J27" si="7">SUM(J28:J29)</f>
        <v>1360000</v>
      </c>
      <c r="K27" s="319">
        <f t="shared" ref="K27:M27" si="8">SUM(K28:K29)</f>
        <v>1570000</v>
      </c>
      <c r="L27" s="153">
        <f t="shared" si="8"/>
        <v>0</v>
      </c>
      <c r="M27" s="476">
        <f t="shared" si="8"/>
        <v>1570000</v>
      </c>
      <c r="N27" s="538">
        <f t="shared" si="0"/>
        <v>115.44117647058823</v>
      </c>
    </row>
    <row r="28" spans="2:15" s="1" customFormat="1" ht="12.95" customHeight="1" x14ac:dyDescent="0.2">
      <c r="B28" s="12"/>
      <c r="C28" s="8"/>
      <c r="D28" s="39"/>
      <c r="E28" s="39"/>
      <c r="F28" s="126">
        <v>614100</v>
      </c>
      <c r="G28" s="140" t="s">
        <v>343</v>
      </c>
      <c r="H28" s="301" t="s">
        <v>495</v>
      </c>
      <c r="I28" s="154">
        <v>50000</v>
      </c>
      <c r="J28" s="154">
        <v>50000</v>
      </c>
      <c r="K28" s="254">
        <v>70000</v>
      </c>
      <c r="L28" s="154">
        <v>0</v>
      </c>
      <c r="M28" s="504">
        <f>SUM(K28:L28)</f>
        <v>70000</v>
      </c>
      <c r="N28" s="539">
        <f t="shared" si="0"/>
        <v>140</v>
      </c>
    </row>
    <row r="29" spans="2:15" s="1" customFormat="1" ht="12.95" customHeight="1" x14ac:dyDescent="0.2">
      <c r="B29" s="12"/>
      <c r="C29" s="8"/>
      <c r="D29" s="39"/>
      <c r="E29" s="39"/>
      <c r="F29" s="126">
        <v>614500</v>
      </c>
      <c r="G29" s="140" t="s">
        <v>397</v>
      </c>
      <c r="H29" s="301" t="s">
        <v>496</v>
      </c>
      <c r="I29" s="154">
        <v>1310000</v>
      </c>
      <c r="J29" s="154">
        <v>1310000</v>
      </c>
      <c r="K29" s="254">
        <v>1500000</v>
      </c>
      <c r="L29" s="154">
        <v>0</v>
      </c>
      <c r="M29" s="504">
        <f>SUM(K29:L29)</f>
        <v>1500000</v>
      </c>
      <c r="N29" s="539">
        <f t="shared" si="0"/>
        <v>114.50381679389312</v>
      </c>
    </row>
    <row r="30" spans="2:15" ht="12.95" customHeight="1" x14ac:dyDescent="0.25">
      <c r="B30" s="10"/>
      <c r="C30" s="11"/>
      <c r="D30" s="11"/>
      <c r="E30" s="11"/>
      <c r="F30" s="122"/>
      <c r="G30" s="136"/>
      <c r="H30" s="22"/>
      <c r="I30" s="153"/>
      <c r="J30" s="153"/>
      <c r="K30" s="319"/>
      <c r="L30" s="153"/>
      <c r="M30" s="476"/>
      <c r="N30" s="539" t="str">
        <f t="shared" si="0"/>
        <v/>
      </c>
    </row>
    <row r="31" spans="2:15" s="1" customFormat="1" ht="12.95" customHeight="1" x14ac:dyDescent="0.25">
      <c r="B31" s="12"/>
      <c r="C31" s="8"/>
      <c r="D31" s="8"/>
      <c r="E31" s="8"/>
      <c r="F31" s="121">
        <v>615000</v>
      </c>
      <c r="G31" s="135"/>
      <c r="H31" s="23" t="s">
        <v>410</v>
      </c>
      <c r="I31" s="153">
        <f t="shared" ref="I31" si="9">SUM(I32:I33)</f>
        <v>1300000</v>
      </c>
      <c r="J31" s="153">
        <f t="shared" ref="J31" si="10">SUM(J32:J33)</f>
        <v>1300000</v>
      </c>
      <c r="K31" s="319">
        <f t="shared" ref="K31:M31" si="11">SUM(K32:K33)</f>
        <v>1000000</v>
      </c>
      <c r="L31" s="153">
        <f t="shared" si="11"/>
        <v>0</v>
      </c>
      <c r="M31" s="476">
        <f t="shared" si="11"/>
        <v>1000000</v>
      </c>
      <c r="N31" s="538">
        <f t="shared" si="0"/>
        <v>76.923076923076934</v>
      </c>
    </row>
    <row r="32" spans="2:15" s="1" customFormat="1" ht="27" customHeight="1" x14ac:dyDescent="0.2">
      <c r="B32" s="12"/>
      <c r="C32" s="8"/>
      <c r="D32" s="39"/>
      <c r="E32" s="39"/>
      <c r="F32" s="126">
        <v>615100</v>
      </c>
      <c r="G32" s="140" t="s">
        <v>413</v>
      </c>
      <c r="H32" s="544" t="s">
        <v>497</v>
      </c>
      <c r="I32" s="154">
        <v>200000</v>
      </c>
      <c r="J32" s="154">
        <v>200000</v>
      </c>
      <c r="K32" s="254">
        <v>0</v>
      </c>
      <c r="L32" s="154">
        <v>0</v>
      </c>
      <c r="M32" s="504">
        <f>SUM(K32:L32)</f>
        <v>0</v>
      </c>
      <c r="N32" s="539">
        <f t="shared" si="0"/>
        <v>0</v>
      </c>
    </row>
    <row r="33" spans="2:14" s="1" customFormat="1" ht="12.95" customHeight="1" x14ac:dyDescent="0.2">
      <c r="B33" s="12"/>
      <c r="C33" s="8"/>
      <c r="D33" s="39"/>
      <c r="E33" s="39"/>
      <c r="F33" s="126">
        <v>615500</v>
      </c>
      <c r="G33" s="140" t="s">
        <v>419</v>
      </c>
      <c r="H33" s="301" t="s">
        <v>420</v>
      </c>
      <c r="I33" s="154">
        <f>850000+250000</f>
        <v>1100000</v>
      </c>
      <c r="J33" s="154">
        <f>850000+250000</f>
        <v>1100000</v>
      </c>
      <c r="K33" s="254">
        <v>1000000</v>
      </c>
      <c r="L33" s="154">
        <v>0</v>
      </c>
      <c r="M33" s="504">
        <f>SUM(K33:L33)</f>
        <v>1000000</v>
      </c>
      <c r="N33" s="539">
        <f t="shared" si="0"/>
        <v>90.909090909090907</v>
      </c>
    </row>
    <row r="34" spans="2:14" ht="12.95" customHeight="1" x14ac:dyDescent="0.2">
      <c r="B34" s="10"/>
      <c r="C34" s="11"/>
      <c r="D34" s="11"/>
      <c r="E34" s="11"/>
      <c r="F34" s="122"/>
      <c r="G34" s="136"/>
      <c r="H34" s="22"/>
      <c r="I34" s="154"/>
      <c r="J34" s="154"/>
      <c r="K34" s="254"/>
      <c r="L34" s="154"/>
      <c r="M34" s="478"/>
      <c r="N34" s="539" t="str">
        <f t="shared" si="0"/>
        <v/>
      </c>
    </row>
    <row r="35" spans="2:14" ht="12.95" customHeight="1" x14ac:dyDescent="0.25">
      <c r="B35" s="12"/>
      <c r="C35" s="8"/>
      <c r="D35" s="8"/>
      <c r="E35" s="8"/>
      <c r="F35" s="121">
        <v>821000</v>
      </c>
      <c r="G35" s="135"/>
      <c r="H35" s="23" t="s">
        <v>427</v>
      </c>
      <c r="I35" s="153">
        <f t="shared" ref="I35" si="12">SUM(I36:I37)</f>
        <v>5000</v>
      </c>
      <c r="J35" s="153">
        <f t="shared" ref="J35" si="13">SUM(J36:J37)</f>
        <v>5000</v>
      </c>
      <c r="K35" s="319">
        <f>SUM(K36:K37)</f>
        <v>5000</v>
      </c>
      <c r="L35" s="153">
        <f>SUM(L36:L37)</f>
        <v>0</v>
      </c>
      <c r="M35" s="476">
        <f>SUM(M36:M37)</f>
        <v>5000</v>
      </c>
      <c r="N35" s="538">
        <f t="shared" si="0"/>
        <v>100</v>
      </c>
    </row>
    <row r="36" spans="2:14" ht="12.95" customHeight="1" x14ac:dyDescent="0.2">
      <c r="B36" s="10"/>
      <c r="C36" s="11"/>
      <c r="D36" s="11"/>
      <c r="E36" s="11"/>
      <c r="F36" s="122">
        <v>821200</v>
      </c>
      <c r="G36" s="136"/>
      <c r="H36" s="22" t="s">
        <v>429</v>
      </c>
      <c r="I36" s="154">
        <v>0</v>
      </c>
      <c r="J36" s="154">
        <v>0</v>
      </c>
      <c r="K36" s="254">
        <v>0</v>
      </c>
      <c r="L36" s="154">
        <v>0</v>
      </c>
      <c r="M36" s="504">
        <f t="shared" ref="M36:M37" si="14">SUM(K36:L36)</f>
        <v>0</v>
      </c>
      <c r="N36" s="539" t="str">
        <f t="shared" si="0"/>
        <v/>
      </c>
    </row>
    <row r="37" spans="2:14" ht="12.95" customHeight="1" x14ac:dyDescent="0.2">
      <c r="B37" s="10"/>
      <c r="C37" s="11"/>
      <c r="D37" s="11"/>
      <c r="E37" s="11"/>
      <c r="F37" s="122">
        <v>821300</v>
      </c>
      <c r="G37" s="136"/>
      <c r="H37" s="22" t="s">
        <v>430</v>
      </c>
      <c r="I37" s="154">
        <v>5000</v>
      </c>
      <c r="J37" s="154">
        <v>5000</v>
      </c>
      <c r="K37" s="254">
        <v>5000</v>
      </c>
      <c r="L37" s="154">
        <v>0</v>
      </c>
      <c r="M37" s="504">
        <f t="shared" si="14"/>
        <v>5000</v>
      </c>
      <c r="N37" s="539">
        <f t="shared" si="0"/>
        <v>100</v>
      </c>
    </row>
    <row r="38" spans="2:14" ht="12.95" customHeight="1" x14ac:dyDescent="0.2">
      <c r="B38" s="10"/>
      <c r="C38" s="11"/>
      <c r="D38" s="11"/>
      <c r="E38" s="11"/>
      <c r="F38" s="122"/>
      <c r="G38" s="136"/>
      <c r="H38" s="22"/>
      <c r="I38" s="154"/>
      <c r="J38" s="154"/>
      <c r="K38" s="254"/>
      <c r="L38" s="154"/>
      <c r="M38" s="478"/>
      <c r="N38" s="539" t="str">
        <f t="shared" si="0"/>
        <v/>
      </c>
    </row>
    <row r="39" spans="2:14" ht="12.95" customHeight="1" x14ac:dyDescent="0.25">
      <c r="B39" s="12"/>
      <c r="C39" s="8"/>
      <c r="D39" s="8"/>
      <c r="E39" s="8"/>
      <c r="F39" s="121"/>
      <c r="G39" s="135"/>
      <c r="H39" s="23" t="s">
        <v>441</v>
      </c>
      <c r="I39" s="269" t="s">
        <v>498</v>
      </c>
      <c r="J39" s="269" t="s">
        <v>498</v>
      </c>
      <c r="K39" s="321" t="s">
        <v>822</v>
      </c>
      <c r="L39" s="153"/>
      <c r="M39" s="471" t="s">
        <v>822</v>
      </c>
      <c r="N39" s="539"/>
    </row>
    <row r="40" spans="2:14" ht="12.95" customHeight="1" x14ac:dyDescent="0.25">
      <c r="B40" s="12"/>
      <c r="C40" s="8"/>
      <c r="D40" s="8"/>
      <c r="E40" s="8"/>
      <c r="F40" s="121"/>
      <c r="G40" s="135"/>
      <c r="H40" s="8" t="s">
        <v>453</v>
      </c>
      <c r="I40" s="14">
        <f>I8+I12+I15+I27+I31+I35</f>
        <v>3162760</v>
      </c>
      <c r="J40" s="14">
        <f>J8+J12+J15+J27+J31+J35</f>
        <v>3162760</v>
      </c>
      <c r="K40" s="262">
        <f>K8+K12+K15+K27+K31+K35</f>
        <v>3070650</v>
      </c>
      <c r="L40" s="14">
        <f>L8+L12+L15+L27+L31+L35</f>
        <v>0</v>
      </c>
      <c r="M40" s="476">
        <f>M8+M12+M15+M27+M31+M35</f>
        <v>3070650</v>
      </c>
      <c r="N40" s="538">
        <f>IF(J40=0,"",M40/J40*100)</f>
        <v>97.087670262681954</v>
      </c>
    </row>
    <row r="41" spans="2:14" ht="12.95" customHeight="1" x14ac:dyDescent="0.25">
      <c r="B41" s="12"/>
      <c r="C41" s="8"/>
      <c r="D41" s="8"/>
      <c r="E41" s="8"/>
      <c r="F41" s="121"/>
      <c r="G41" s="135"/>
      <c r="H41" s="8" t="s">
        <v>454</v>
      </c>
      <c r="I41" s="14">
        <f t="shared" ref="I41:I42" si="15">I40</f>
        <v>3162760</v>
      </c>
      <c r="J41" s="14">
        <f t="shared" ref="J41" si="16">J40</f>
        <v>3162760</v>
      </c>
      <c r="K41" s="262">
        <f t="shared" ref="K41:M42" si="17">K40</f>
        <v>3070650</v>
      </c>
      <c r="L41" s="14">
        <f t="shared" si="17"/>
        <v>0</v>
      </c>
      <c r="M41" s="476">
        <f t="shared" si="17"/>
        <v>3070650</v>
      </c>
      <c r="N41" s="538">
        <f>IF(J41=0,"",M41/J41*100)</f>
        <v>97.087670262681954</v>
      </c>
    </row>
    <row r="42" spans="2:14" s="1" customFormat="1" ht="12.95" customHeight="1" x14ac:dyDescent="0.25">
      <c r="B42" s="12"/>
      <c r="C42" s="8"/>
      <c r="D42" s="8"/>
      <c r="E42" s="8"/>
      <c r="F42" s="121"/>
      <c r="G42" s="135"/>
      <c r="H42" s="8" t="s">
        <v>455</v>
      </c>
      <c r="I42" s="14">
        <f t="shared" si="15"/>
        <v>3162760</v>
      </c>
      <c r="J42" s="14">
        <f t="shared" ref="J42" si="18">J41</f>
        <v>3162760</v>
      </c>
      <c r="K42" s="262">
        <f t="shared" si="17"/>
        <v>3070650</v>
      </c>
      <c r="L42" s="14">
        <f t="shared" si="17"/>
        <v>0</v>
      </c>
      <c r="M42" s="476">
        <f t="shared" si="17"/>
        <v>3070650</v>
      </c>
      <c r="N42" s="538">
        <f>IF(J42=0,"",M42/J42*100)</f>
        <v>97.087670262681954</v>
      </c>
    </row>
    <row r="43" spans="2:14" s="1" customFormat="1" ht="12.95" customHeight="1" thickBot="1" x14ac:dyDescent="0.25">
      <c r="B43" s="15"/>
      <c r="C43" s="16"/>
      <c r="D43" s="16"/>
      <c r="E43" s="16"/>
      <c r="F43" s="123"/>
      <c r="G43" s="137"/>
      <c r="H43" s="16"/>
      <c r="I43" s="29"/>
      <c r="J43" s="29"/>
      <c r="K43" s="263"/>
      <c r="L43" s="29"/>
      <c r="M43" s="505"/>
      <c r="N43" s="540"/>
    </row>
    <row r="44" spans="2:14" s="1" customFormat="1" ht="12.95" customHeight="1" x14ac:dyDescent="0.2">
      <c r="B44" s="9"/>
      <c r="C44" s="9"/>
      <c r="D44" s="9"/>
      <c r="E44" s="9"/>
      <c r="F44" s="124"/>
      <c r="G44" s="138"/>
      <c r="H44" s="9"/>
      <c r="I44" s="44"/>
      <c r="J44" s="44"/>
      <c r="K44" s="548"/>
      <c r="L44" s="44"/>
      <c r="M44" s="162"/>
      <c r="N44" s="145"/>
    </row>
    <row r="45" spans="2:14" s="1" customFormat="1" ht="12.95" customHeight="1" x14ac:dyDescent="0.2">
      <c r="B45" s="9"/>
      <c r="C45" s="9"/>
      <c r="D45" s="9"/>
      <c r="E45" s="9"/>
      <c r="F45" s="124"/>
      <c r="G45" s="138"/>
      <c r="H45" s="9"/>
      <c r="I45" s="44"/>
      <c r="J45" s="44"/>
      <c r="K45" s="44"/>
      <c r="L45" s="44"/>
      <c r="M45" s="162"/>
      <c r="N45" s="145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2.95" customHeight="1" x14ac:dyDescent="0.2">
      <c r="F58" s="124"/>
      <c r="G58" s="138"/>
      <c r="M58" s="162"/>
    </row>
    <row r="59" spans="6:13" ht="12.95" customHeight="1" x14ac:dyDescent="0.2">
      <c r="F59" s="124"/>
      <c r="G59" s="138"/>
      <c r="M59" s="162"/>
    </row>
    <row r="60" spans="6:13" ht="12.95" customHeight="1" x14ac:dyDescent="0.2">
      <c r="F60" s="124"/>
      <c r="G60" s="138"/>
      <c r="M60" s="162"/>
    </row>
    <row r="61" spans="6:13" ht="12.95" customHeight="1" x14ac:dyDescent="0.2">
      <c r="F61" s="124"/>
      <c r="G61" s="138"/>
      <c r="M61" s="162"/>
    </row>
    <row r="62" spans="6:13" ht="12.95" customHeight="1" x14ac:dyDescent="0.2">
      <c r="F62" s="124"/>
      <c r="G62" s="138"/>
      <c r="M62" s="162"/>
    </row>
    <row r="63" spans="6:13" ht="17.100000000000001" customHeight="1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38"/>
      <c r="M72" s="162"/>
    </row>
    <row r="73" spans="6:13" ht="14.25" x14ac:dyDescent="0.2">
      <c r="F73" s="124"/>
      <c r="G73" s="138"/>
      <c r="M73" s="162"/>
    </row>
    <row r="74" spans="6:13" ht="14.25" x14ac:dyDescent="0.2">
      <c r="F74" s="124"/>
      <c r="G74" s="138"/>
      <c r="M74" s="162"/>
    </row>
    <row r="75" spans="6:13" ht="14.25" x14ac:dyDescent="0.2">
      <c r="F75" s="124"/>
      <c r="G75" s="138"/>
      <c r="M75" s="162"/>
    </row>
    <row r="76" spans="6:13" ht="14.25" x14ac:dyDescent="0.2">
      <c r="F76" s="124"/>
      <c r="G76" s="138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ht="14.25" x14ac:dyDescent="0.2">
      <c r="F89" s="124"/>
      <c r="G89" s="124"/>
      <c r="M89" s="162"/>
    </row>
    <row r="90" spans="6:13" ht="14.25" x14ac:dyDescent="0.2">
      <c r="F90" s="124"/>
      <c r="G90" s="124"/>
      <c r="M90" s="162"/>
    </row>
    <row r="91" spans="6:13" ht="14.25" x14ac:dyDescent="0.2">
      <c r="F91" s="124"/>
      <c r="G91" s="124"/>
      <c r="M91" s="162"/>
    </row>
    <row r="92" spans="6:13" ht="14.25" x14ac:dyDescent="0.2">
      <c r="F92" s="124"/>
      <c r="G92" s="124"/>
      <c r="M92" s="162"/>
    </row>
    <row r="93" spans="6:13" ht="14.25" x14ac:dyDescent="0.2">
      <c r="F93" s="124"/>
      <c r="G93" s="124"/>
      <c r="M93" s="162"/>
    </row>
    <row r="94" spans="6:13" x14ac:dyDescent="0.2">
      <c r="G94" s="124"/>
    </row>
    <row r="95" spans="6:13" x14ac:dyDescent="0.2">
      <c r="G95" s="124"/>
    </row>
    <row r="96" spans="6:13" x14ac:dyDescent="0.2">
      <c r="G96" s="124"/>
    </row>
    <row r="97" spans="7:7" x14ac:dyDescent="0.2">
      <c r="G97" s="124"/>
    </row>
    <row r="98" spans="7:7" x14ac:dyDescent="0.2">
      <c r="G98" s="124"/>
    </row>
    <row r="99" spans="7:7" x14ac:dyDescent="0.2">
      <c r="G99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9"/>
  <dimension ref="B1:R94"/>
  <sheetViews>
    <sheetView topLeftCell="D9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5" width="11" style="9" bestFit="1" customWidth="1"/>
    <col min="16" max="16384" width="9.140625" style="9"/>
  </cols>
  <sheetData>
    <row r="1" spans="2:18" ht="13.5" thickBot="1" x14ac:dyDescent="0.25"/>
    <row r="2" spans="2:18" s="64" customFormat="1" ht="20.100000000000001" customHeight="1" thickTop="1" thickBot="1" x14ac:dyDescent="0.25">
      <c r="B2" s="649" t="s">
        <v>499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8" s="1" customFormat="1" ht="8.1" customHeight="1" thickTop="1" thickBot="1" x14ac:dyDescent="0.25">
      <c r="F3" s="2"/>
      <c r="G3" s="2"/>
      <c r="H3" s="652"/>
      <c r="I3" s="652"/>
      <c r="J3" s="107"/>
      <c r="K3" s="156"/>
      <c r="L3" s="156"/>
      <c r="M3" s="156"/>
      <c r="N3" s="144"/>
      <c r="O3" s="157"/>
    </row>
    <row r="4" spans="2:18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0" t="s">
        <v>808</v>
      </c>
      <c r="K4" s="653" t="s">
        <v>813</v>
      </c>
      <c r="L4" s="654"/>
      <c r="M4" s="655"/>
      <c r="N4" s="665" t="s">
        <v>65</v>
      </c>
    </row>
    <row r="5" spans="2:18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71"/>
      <c r="K5" s="265" t="s">
        <v>289</v>
      </c>
      <c r="L5" s="159" t="s">
        <v>290</v>
      </c>
      <c r="M5" s="468" t="s">
        <v>291</v>
      </c>
      <c r="N5" s="666"/>
    </row>
    <row r="6" spans="2:18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232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8" s="2" customFormat="1" ht="12.95" customHeight="1" x14ac:dyDescent="0.25">
      <c r="B7" s="6" t="s">
        <v>500</v>
      </c>
      <c r="C7" s="7" t="s">
        <v>451</v>
      </c>
      <c r="D7" s="7" t="s">
        <v>452</v>
      </c>
      <c r="E7" s="286" t="s">
        <v>605</v>
      </c>
      <c r="F7" s="5"/>
      <c r="G7" s="5"/>
      <c r="H7" s="5"/>
      <c r="I7" s="258"/>
      <c r="J7" s="258"/>
      <c r="K7" s="4"/>
      <c r="L7" s="5"/>
      <c r="M7" s="502"/>
      <c r="N7" s="537"/>
    </row>
    <row r="8" spans="2:18" s="2" customFormat="1" ht="12.95" customHeight="1" x14ac:dyDescent="0.25">
      <c r="B8" s="6"/>
      <c r="C8" s="7"/>
      <c r="D8" s="7"/>
      <c r="E8" s="7"/>
      <c r="F8" s="121">
        <v>600000</v>
      </c>
      <c r="G8" s="135"/>
      <c r="H8" s="291" t="s">
        <v>295</v>
      </c>
      <c r="I8" s="269">
        <f t="shared" ref="I8:J8" si="0">I9</f>
        <v>15000</v>
      </c>
      <c r="J8" s="269">
        <f t="shared" si="0"/>
        <v>15000</v>
      </c>
      <c r="K8" s="321">
        <f>K9</f>
        <v>20000</v>
      </c>
      <c r="L8" s="269">
        <f>L9</f>
        <v>0</v>
      </c>
      <c r="M8" s="471">
        <f>M9</f>
        <v>20000</v>
      </c>
      <c r="N8" s="538">
        <f t="shared" ref="N8:N46" si="1">IF(J8=0,"",M8/J8*100)</f>
        <v>133.33333333333331</v>
      </c>
    </row>
    <row r="9" spans="2:18" s="2" customFormat="1" ht="12.95" customHeight="1" x14ac:dyDescent="0.2">
      <c r="B9" s="6"/>
      <c r="C9" s="7"/>
      <c r="D9" s="7"/>
      <c r="E9" s="7"/>
      <c r="F9" s="122">
        <v>600000</v>
      </c>
      <c r="G9" s="136"/>
      <c r="H9" s="292" t="s">
        <v>299</v>
      </c>
      <c r="I9" s="151">
        <v>15000</v>
      </c>
      <c r="J9" s="151">
        <v>15000</v>
      </c>
      <c r="K9" s="253">
        <v>20000</v>
      </c>
      <c r="L9" s="151">
        <v>0</v>
      </c>
      <c r="M9" s="478">
        <f>SUM(K9:L9)</f>
        <v>20000</v>
      </c>
      <c r="N9" s="539">
        <f t="shared" si="1"/>
        <v>133.33333333333331</v>
      </c>
    </row>
    <row r="10" spans="2:18" s="2" customFormat="1" ht="7.5" customHeight="1" x14ac:dyDescent="0.2">
      <c r="B10" s="6"/>
      <c r="C10" s="7"/>
      <c r="D10" s="7"/>
      <c r="E10" s="7"/>
      <c r="F10" s="121"/>
      <c r="G10" s="135"/>
      <c r="H10" s="258"/>
      <c r="I10" s="151"/>
      <c r="J10" s="151"/>
      <c r="K10" s="253"/>
      <c r="L10" s="151"/>
      <c r="M10" s="478"/>
      <c r="N10" s="539" t="str">
        <f t="shared" si="1"/>
        <v/>
      </c>
    </row>
    <row r="11" spans="2:18" s="1" customFormat="1" ht="12.95" customHeight="1" x14ac:dyDescent="0.25">
      <c r="B11" s="12"/>
      <c r="C11" s="8"/>
      <c r="D11" s="8"/>
      <c r="E11" s="8"/>
      <c r="F11" s="121">
        <v>611000</v>
      </c>
      <c r="G11" s="135"/>
      <c r="H11" s="23" t="s">
        <v>300</v>
      </c>
      <c r="I11" s="153">
        <f>SUM(I12:I13)</f>
        <v>652080</v>
      </c>
      <c r="J11" s="153">
        <f>SUM(J12:J13)</f>
        <v>652080</v>
      </c>
      <c r="K11" s="319">
        <f>SUM(K12:K13)</f>
        <v>653930</v>
      </c>
      <c r="L11" s="153">
        <f>SUM(L12:L13)</f>
        <v>0</v>
      </c>
      <c r="M11" s="503">
        <f>SUM(M12:M13)</f>
        <v>653930</v>
      </c>
      <c r="N11" s="538">
        <f t="shared" si="1"/>
        <v>100.28370752054963</v>
      </c>
    </row>
    <row r="12" spans="2:18" ht="12.95" customHeight="1" x14ac:dyDescent="0.2">
      <c r="B12" s="10"/>
      <c r="C12" s="11"/>
      <c r="D12" s="11"/>
      <c r="E12" s="11"/>
      <c r="F12" s="122">
        <v>611100</v>
      </c>
      <c r="G12" s="136"/>
      <c r="H12" s="22" t="s">
        <v>301</v>
      </c>
      <c r="I12" s="154">
        <f>532510+1000</f>
        <v>533510</v>
      </c>
      <c r="J12" s="154">
        <f>532510+1000</f>
        <v>533510</v>
      </c>
      <c r="K12" s="254">
        <f>545600+12*450+13620</f>
        <v>564620</v>
      </c>
      <c r="L12" s="154">
        <v>0</v>
      </c>
      <c r="M12" s="478">
        <f t="shared" ref="M12:M13" si="2">SUM(K12:L12)</f>
        <v>564620</v>
      </c>
      <c r="N12" s="539">
        <f t="shared" si="1"/>
        <v>105.83119341718057</v>
      </c>
    </row>
    <row r="13" spans="2:18" ht="12.95" customHeight="1" x14ac:dyDescent="0.2">
      <c r="B13" s="10"/>
      <c r="C13" s="11"/>
      <c r="D13" s="11"/>
      <c r="E13" s="11"/>
      <c r="F13" s="122">
        <v>611200</v>
      </c>
      <c r="G13" s="136"/>
      <c r="H13" s="22" t="s">
        <v>302</v>
      </c>
      <c r="I13" s="151">
        <f>103370+5*1400+1400+17*400</f>
        <v>118570</v>
      </c>
      <c r="J13" s="151">
        <f>103370+5*1400+1400+17*400</f>
        <v>118570</v>
      </c>
      <c r="K13" s="253">
        <f>87310+2000</f>
        <v>89310</v>
      </c>
      <c r="L13" s="151">
        <v>0</v>
      </c>
      <c r="M13" s="478">
        <f t="shared" si="2"/>
        <v>89310</v>
      </c>
      <c r="N13" s="539">
        <f t="shared" si="1"/>
        <v>75.32259424812348</v>
      </c>
      <c r="R13" s="277"/>
    </row>
    <row r="14" spans="2:18" ht="7.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504"/>
      <c r="N14" s="539" t="str">
        <f t="shared" si="1"/>
        <v/>
      </c>
    </row>
    <row r="15" spans="2:18" s="1" customFormat="1" ht="12.95" customHeight="1" x14ac:dyDescent="0.25">
      <c r="B15" s="12"/>
      <c r="C15" s="8"/>
      <c r="D15" s="8"/>
      <c r="E15" s="8"/>
      <c r="F15" s="121">
        <v>612000</v>
      </c>
      <c r="G15" s="135"/>
      <c r="H15" s="23" t="s">
        <v>305</v>
      </c>
      <c r="I15" s="153">
        <f t="shared" ref="I15:J15" si="3">I16+I17</f>
        <v>55790</v>
      </c>
      <c r="J15" s="153">
        <f t="shared" si="3"/>
        <v>55790</v>
      </c>
      <c r="K15" s="319">
        <f>K16+K17</f>
        <v>59940</v>
      </c>
      <c r="L15" s="153">
        <f>L16+L17</f>
        <v>0</v>
      </c>
      <c r="M15" s="503">
        <f>M16+M17</f>
        <v>59940</v>
      </c>
      <c r="N15" s="538">
        <f t="shared" si="1"/>
        <v>107.43860906972576</v>
      </c>
    </row>
    <row r="16" spans="2:18" ht="12.95" customHeight="1" x14ac:dyDescent="0.2">
      <c r="B16" s="10"/>
      <c r="C16" s="11"/>
      <c r="D16" s="11"/>
      <c r="E16" s="11"/>
      <c r="F16" s="122">
        <v>612100</v>
      </c>
      <c r="G16" s="136"/>
      <c r="H16" s="294" t="s">
        <v>306</v>
      </c>
      <c r="I16" s="151">
        <f>55490+300</f>
        <v>55790</v>
      </c>
      <c r="J16" s="151">
        <f>55490+300</f>
        <v>55790</v>
      </c>
      <c r="K16" s="253">
        <f>57840+12*50+1500</f>
        <v>59940</v>
      </c>
      <c r="L16" s="151">
        <v>0</v>
      </c>
      <c r="M16" s="478">
        <f>SUM(K16:L16)</f>
        <v>59940</v>
      </c>
      <c r="N16" s="539">
        <f t="shared" si="1"/>
        <v>107.43860906972576</v>
      </c>
    </row>
    <row r="17" spans="2:15" ht="12.95" customHeight="1" x14ac:dyDescent="0.2">
      <c r="B17" s="10"/>
      <c r="C17" s="11"/>
      <c r="D17" s="11"/>
      <c r="E17" s="11"/>
      <c r="F17" s="122"/>
      <c r="G17" s="136"/>
      <c r="H17" s="22"/>
      <c r="I17" s="151"/>
      <c r="J17" s="151"/>
      <c r="K17" s="253"/>
      <c r="L17" s="151"/>
      <c r="M17" s="478"/>
      <c r="N17" s="539" t="str">
        <f t="shared" si="1"/>
        <v/>
      </c>
    </row>
    <row r="18" spans="2:15" s="1" customFormat="1" ht="12.95" customHeight="1" x14ac:dyDescent="0.25">
      <c r="B18" s="12"/>
      <c r="C18" s="8"/>
      <c r="D18" s="8"/>
      <c r="E18" s="8"/>
      <c r="F18" s="121">
        <v>613000</v>
      </c>
      <c r="G18" s="135"/>
      <c r="H18" s="23" t="s">
        <v>309</v>
      </c>
      <c r="I18" s="153">
        <f>SUM(I19:I28)</f>
        <v>162120</v>
      </c>
      <c r="J18" s="153">
        <f>SUM(J19:J28)</f>
        <v>162120</v>
      </c>
      <c r="K18" s="320">
        <f>SUM(K19:K28)</f>
        <v>173000</v>
      </c>
      <c r="L18" s="155">
        <f>SUM(L19:L28)</f>
        <v>0</v>
      </c>
      <c r="M18" s="476">
        <f>SUM(M19:M28)</f>
        <v>173000</v>
      </c>
      <c r="N18" s="538">
        <f t="shared" si="1"/>
        <v>106.7110782136689</v>
      </c>
    </row>
    <row r="19" spans="2:15" ht="12.95" customHeight="1" x14ac:dyDescent="0.2">
      <c r="B19" s="10"/>
      <c r="C19" s="11"/>
      <c r="D19" s="11"/>
      <c r="E19" s="11"/>
      <c r="F19" s="122">
        <v>613100</v>
      </c>
      <c r="G19" s="136"/>
      <c r="H19" s="22" t="s">
        <v>310</v>
      </c>
      <c r="I19" s="151">
        <v>6000</v>
      </c>
      <c r="J19" s="151">
        <v>6000</v>
      </c>
      <c r="K19" s="253">
        <v>7000</v>
      </c>
      <c r="L19" s="151">
        <v>0</v>
      </c>
      <c r="M19" s="478">
        <f t="shared" ref="M19:M28" si="4">SUM(K19:L19)</f>
        <v>7000</v>
      </c>
      <c r="N19" s="539">
        <f t="shared" si="1"/>
        <v>116.66666666666667</v>
      </c>
    </row>
    <row r="20" spans="2:15" ht="12.95" customHeight="1" x14ac:dyDescent="0.2">
      <c r="B20" s="10"/>
      <c r="C20" s="11"/>
      <c r="D20" s="11"/>
      <c r="E20" s="11"/>
      <c r="F20" s="122">
        <v>613200</v>
      </c>
      <c r="G20" s="136"/>
      <c r="H20" s="22" t="s">
        <v>311</v>
      </c>
      <c r="I20" s="151">
        <v>0</v>
      </c>
      <c r="J20" s="151">
        <v>0</v>
      </c>
      <c r="K20" s="253">
        <v>0</v>
      </c>
      <c r="L20" s="151">
        <v>0</v>
      </c>
      <c r="M20" s="478">
        <f t="shared" si="4"/>
        <v>0</v>
      </c>
      <c r="N20" s="539" t="str">
        <f t="shared" si="1"/>
        <v/>
      </c>
    </row>
    <row r="21" spans="2:15" ht="12.95" customHeight="1" x14ac:dyDescent="0.2">
      <c r="B21" s="10"/>
      <c r="C21" s="11"/>
      <c r="D21" s="11"/>
      <c r="E21" s="11"/>
      <c r="F21" s="122">
        <v>613300</v>
      </c>
      <c r="G21" s="136"/>
      <c r="H21" s="22" t="s">
        <v>312</v>
      </c>
      <c r="I21" s="151">
        <v>9650</v>
      </c>
      <c r="J21" s="151">
        <v>9650</v>
      </c>
      <c r="K21" s="253">
        <v>10300</v>
      </c>
      <c r="L21" s="151">
        <v>0</v>
      </c>
      <c r="M21" s="478">
        <f t="shared" si="4"/>
        <v>10300</v>
      </c>
      <c r="N21" s="539">
        <f t="shared" si="1"/>
        <v>106.73575129533678</v>
      </c>
    </row>
    <row r="22" spans="2:15" ht="12.95" customHeight="1" x14ac:dyDescent="0.2">
      <c r="B22" s="10"/>
      <c r="C22" s="11"/>
      <c r="D22" s="11"/>
      <c r="E22" s="11"/>
      <c r="F22" s="122">
        <v>613400</v>
      </c>
      <c r="G22" s="136"/>
      <c r="H22" s="22" t="s">
        <v>313</v>
      </c>
      <c r="I22" s="151">
        <v>2700</v>
      </c>
      <c r="J22" s="151">
        <v>2700</v>
      </c>
      <c r="K22" s="253">
        <v>2700</v>
      </c>
      <c r="L22" s="151">
        <v>0</v>
      </c>
      <c r="M22" s="478">
        <f t="shared" si="4"/>
        <v>2700</v>
      </c>
      <c r="N22" s="539">
        <f t="shared" si="1"/>
        <v>100</v>
      </c>
    </row>
    <row r="23" spans="2:15" ht="12.95" customHeight="1" x14ac:dyDescent="0.2">
      <c r="B23" s="10"/>
      <c r="C23" s="11"/>
      <c r="D23" s="11"/>
      <c r="E23" s="11"/>
      <c r="F23" s="122">
        <v>613500</v>
      </c>
      <c r="G23" s="136"/>
      <c r="H23" s="22" t="s">
        <v>316</v>
      </c>
      <c r="I23" s="151">
        <v>0</v>
      </c>
      <c r="J23" s="151">
        <v>0</v>
      </c>
      <c r="K23" s="253">
        <v>0</v>
      </c>
      <c r="L23" s="151">
        <v>0</v>
      </c>
      <c r="M23" s="478">
        <f t="shared" si="4"/>
        <v>0</v>
      </c>
      <c r="N23" s="539" t="str">
        <f t="shared" si="1"/>
        <v/>
      </c>
    </row>
    <row r="24" spans="2:15" ht="12.95" customHeight="1" x14ac:dyDescent="0.2">
      <c r="B24" s="10"/>
      <c r="C24" s="11"/>
      <c r="D24" s="11"/>
      <c r="E24" s="11"/>
      <c r="F24" s="122">
        <v>613600</v>
      </c>
      <c r="G24" s="136"/>
      <c r="H24" s="22" t="s">
        <v>317</v>
      </c>
      <c r="I24" s="151">
        <v>0</v>
      </c>
      <c r="J24" s="151">
        <v>0</v>
      </c>
      <c r="K24" s="253">
        <v>0</v>
      </c>
      <c r="L24" s="151">
        <v>0</v>
      </c>
      <c r="M24" s="478">
        <f t="shared" si="4"/>
        <v>0</v>
      </c>
      <c r="N24" s="539" t="str">
        <f t="shared" si="1"/>
        <v/>
      </c>
    </row>
    <row r="25" spans="2:15" ht="12.95" customHeight="1" x14ac:dyDescent="0.2">
      <c r="B25" s="10"/>
      <c r="C25" s="11"/>
      <c r="D25" s="11"/>
      <c r="E25" s="11"/>
      <c r="F25" s="122">
        <v>613700</v>
      </c>
      <c r="G25" s="136"/>
      <c r="H25" s="22" t="s">
        <v>318</v>
      </c>
      <c r="I25" s="154">
        <v>8000</v>
      </c>
      <c r="J25" s="154">
        <v>8000</v>
      </c>
      <c r="K25" s="254">
        <v>5000</v>
      </c>
      <c r="L25" s="154">
        <v>0</v>
      </c>
      <c r="M25" s="478">
        <f t="shared" si="4"/>
        <v>5000</v>
      </c>
      <c r="N25" s="539">
        <f t="shared" si="1"/>
        <v>62.5</v>
      </c>
    </row>
    <row r="26" spans="2:15" ht="12.95" customHeight="1" x14ac:dyDescent="0.2">
      <c r="B26" s="10"/>
      <c r="C26" s="11"/>
      <c r="D26" s="11"/>
      <c r="E26" s="11"/>
      <c r="F26" s="122">
        <v>613800</v>
      </c>
      <c r="G26" s="136"/>
      <c r="H26" s="22" t="s">
        <v>322</v>
      </c>
      <c r="I26" s="151">
        <v>15210</v>
      </c>
      <c r="J26" s="151">
        <v>15210</v>
      </c>
      <c r="K26" s="253">
        <v>15500</v>
      </c>
      <c r="L26" s="151">
        <v>0</v>
      </c>
      <c r="M26" s="478">
        <f t="shared" si="4"/>
        <v>15500</v>
      </c>
      <c r="N26" s="539">
        <f t="shared" si="1"/>
        <v>101.90664036817883</v>
      </c>
    </row>
    <row r="27" spans="2:15" ht="12.95" customHeight="1" x14ac:dyDescent="0.2">
      <c r="B27" s="10"/>
      <c r="C27" s="11"/>
      <c r="D27" s="11"/>
      <c r="E27" s="11"/>
      <c r="F27" s="122">
        <v>613900</v>
      </c>
      <c r="G27" s="136"/>
      <c r="H27" s="22" t="s">
        <v>325</v>
      </c>
      <c r="I27" s="151">
        <v>21000</v>
      </c>
      <c r="J27" s="151">
        <v>21000</v>
      </c>
      <c r="K27" s="253">
        <v>21000</v>
      </c>
      <c r="L27" s="151">
        <v>0</v>
      </c>
      <c r="M27" s="478">
        <f t="shared" si="4"/>
        <v>21000</v>
      </c>
      <c r="N27" s="539">
        <f t="shared" si="1"/>
        <v>100</v>
      </c>
    </row>
    <row r="28" spans="2:15" ht="12.95" customHeight="1" x14ac:dyDescent="0.2">
      <c r="B28" s="10"/>
      <c r="C28" s="11"/>
      <c r="D28" s="11"/>
      <c r="E28" s="283"/>
      <c r="F28" s="127">
        <v>613900</v>
      </c>
      <c r="G28" s="141" t="s">
        <v>331</v>
      </c>
      <c r="H28" s="22" t="s">
        <v>501</v>
      </c>
      <c r="I28" s="151">
        <v>99560</v>
      </c>
      <c r="J28" s="151">
        <v>99560</v>
      </c>
      <c r="K28" s="253">
        <v>111500</v>
      </c>
      <c r="L28" s="151">
        <v>0</v>
      </c>
      <c r="M28" s="478">
        <f t="shared" si="4"/>
        <v>111500</v>
      </c>
      <c r="N28" s="539">
        <f t="shared" si="1"/>
        <v>111.99276817999197</v>
      </c>
      <c r="O28" s="44"/>
    </row>
    <row r="29" spans="2:15" ht="8.25" customHeight="1" x14ac:dyDescent="0.2">
      <c r="B29" s="10"/>
      <c r="C29" s="11"/>
      <c r="D29" s="11"/>
      <c r="E29" s="283"/>
      <c r="F29" s="127"/>
      <c r="G29" s="141"/>
      <c r="H29" s="22"/>
      <c r="I29" s="151"/>
      <c r="J29" s="151"/>
      <c r="K29" s="253"/>
      <c r="L29" s="151"/>
      <c r="M29" s="478"/>
      <c r="N29" s="539" t="str">
        <f t="shared" si="1"/>
        <v/>
      </c>
    </row>
    <row r="30" spans="2:15" s="1" customFormat="1" ht="12.95" customHeight="1" x14ac:dyDescent="0.25">
      <c r="B30" s="12"/>
      <c r="C30" s="8"/>
      <c r="D30" s="23"/>
      <c r="E30" s="23"/>
      <c r="F30" s="121">
        <v>614000</v>
      </c>
      <c r="G30" s="135"/>
      <c r="H30" s="23" t="s">
        <v>339</v>
      </c>
      <c r="I30" s="153">
        <f t="shared" ref="I30:J30" si="5">SUM(I31:I33)</f>
        <v>1001500</v>
      </c>
      <c r="J30" s="153">
        <f t="shared" si="5"/>
        <v>1001500</v>
      </c>
      <c r="K30" s="319">
        <f>SUM(K31:K33)</f>
        <v>605000</v>
      </c>
      <c r="L30" s="153">
        <f>SUM(L31:L33)</f>
        <v>0</v>
      </c>
      <c r="M30" s="476">
        <f>SUM(M31:M33)</f>
        <v>605000</v>
      </c>
      <c r="N30" s="538">
        <f t="shared" si="1"/>
        <v>60.409385921118322</v>
      </c>
    </row>
    <row r="31" spans="2:15" ht="12.95" customHeight="1" x14ac:dyDescent="0.2">
      <c r="B31" s="10"/>
      <c r="C31" s="11"/>
      <c r="D31" s="22"/>
      <c r="E31" s="22"/>
      <c r="F31" s="122">
        <v>614100</v>
      </c>
      <c r="G31" s="133" t="s">
        <v>345</v>
      </c>
      <c r="H31" s="341" t="s">
        <v>502</v>
      </c>
      <c r="I31" s="151">
        <v>800000</v>
      </c>
      <c r="J31" s="151">
        <v>800000</v>
      </c>
      <c r="K31" s="253">
        <v>500000</v>
      </c>
      <c r="L31" s="151">
        <v>0</v>
      </c>
      <c r="M31" s="478">
        <f t="shared" ref="M31:M33" si="6">SUM(K31:L31)</f>
        <v>500000</v>
      </c>
      <c r="N31" s="539">
        <f t="shared" si="1"/>
        <v>62.5</v>
      </c>
      <c r="O31" s="277"/>
    </row>
    <row r="32" spans="2:15" ht="12.95" customHeight="1" x14ac:dyDescent="0.2">
      <c r="B32" s="10"/>
      <c r="C32" s="11"/>
      <c r="D32" s="22"/>
      <c r="E32" s="22"/>
      <c r="F32" s="147">
        <v>614800</v>
      </c>
      <c r="G32" s="142" t="s">
        <v>406</v>
      </c>
      <c r="H32" s="341" t="s">
        <v>503</v>
      </c>
      <c r="I32" s="151">
        <v>200000</v>
      </c>
      <c r="J32" s="151">
        <v>200000</v>
      </c>
      <c r="K32" s="253">
        <v>100000</v>
      </c>
      <c r="L32" s="151">
        <v>0</v>
      </c>
      <c r="M32" s="478">
        <f t="shared" si="6"/>
        <v>100000</v>
      </c>
      <c r="N32" s="539">
        <f t="shared" si="1"/>
        <v>50</v>
      </c>
    </row>
    <row r="33" spans="2:16" ht="24.75" customHeight="1" x14ac:dyDescent="0.2">
      <c r="B33" s="10"/>
      <c r="C33" s="11"/>
      <c r="D33" s="22"/>
      <c r="E33" s="22"/>
      <c r="F33" s="147">
        <v>614800</v>
      </c>
      <c r="G33" s="142" t="s">
        <v>408</v>
      </c>
      <c r="H33" s="554" t="s">
        <v>504</v>
      </c>
      <c r="I33" s="151">
        <v>1500</v>
      </c>
      <c r="J33" s="151">
        <v>1500</v>
      </c>
      <c r="K33" s="253">
        <v>5000</v>
      </c>
      <c r="L33" s="151">
        <v>0</v>
      </c>
      <c r="M33" s="478">
        <f t="shared" si="6"/>
        <v>5000</v>
      </c>
      <c r="N33" s="539">
        <f t="shared" si="1"/>
        <v>333.33333333333337</v>
      </c>
    </row>
    <row r="34" spans="2:16" ht="7.5" customHeight="1" x14ac:dyDescent="0.2">
      <c r="B34" s="10"/>
      <c r="C34" s="11"/>
      <c r="D34" s="11"/>
      <c r="E34" s="11"/>
      <c r="F34" s="122"/>
      <c r="G34" s="136"/>
      <c r="H34" s="11"/>
      <c r="I34" s="151"/>
      <c r="J34" s="151"/>
      <c r="K34" s="253"/>
      <c r="L34" s="151"/>
      <c r="M34" s="478"/>
      <c r="N34" s="539" t="str">
        <f t="shared" ref="N34" si="7">IF(J34=0,"",M34/J34*100)</f>
        <v/>
      </c>
    </row>
    <row r="35" spans="2:16" ht="12.95" customHeight="1" x14ac:dyDescent="0.25">
      <c r="B35" s="10"/>
      <c r="C35" s="11"/>
      <c r="D35" s="11"/>
      <c r="E35" s="11"/>
      <c r="F35" s="121">
        <v>616000</v>
      </c>
      <c r="G35" s="135"/>
      <c r="H35" s="24" t="s">
        <v>505</v>
      </c>
      <c r="I35" s="250">
        <f t="shared" ref="I35:J35" si="8">SUM(I36:I37)</f>
        <v>15510</v>
      </c>
      <c r="J35" s="250">
        <f t="shared" si="8"/>
        <v>15510</v>
      </c>
      <c r="K35" s="256">
        <f t="shared" ref="K35" si="9">SUM(K36:K37)</f>
        <v>14330</v>
      </c>
      <c r="L35" s="150">
        <f>SUM(L36:L37)</f>
        <v>0</v>
      </c>
      <c r="M35" s="476">
        <f>SUM(M36:M37)</f>
        <v>14330</v>
      </c>
      <c r="N35" s="538">
        <f t="shared" si="1"/>
        <v>92.392005157962615</v>
      </c>
    </row>
    <row r="36" spans="2:16" ht="12.95" customHeight="1" x14ac:dyDescent="0.2">
      <c r="B36" s="10"/>
      <c r="C36" s="11"/>
      <c r="D36" s="11"/>
      <c r="E36" s="252"/>
      <c r="F36" s="128">
        <v>616200</v>
      </c>
      <c r="G36" s="133" t="s">
        <v>423</v>
      </c>
      <c r="H36" s="37" t="s">
        <v>424</v>
      </c>
      <c r="I36" s="251">
        <v>12910</v>
      </c>
      <c r="J36" s="251">
        <v>12910</v>
      </c>
      <c r="K36" s="253">
        <v>14330</v>
      </c>
      <c r="L36" s="151">
        <v>0</v>
      </c>
      <c r="M36" s="478">
        <f t="shared" ref="M36:M37" si="10">SUM(K36:L36)</f>
        <v>14330</v>
      </c>
      <c r="N36" s="539">
        <f t="shared" si="1"/>
        <v>110.99922540666149</v>
      </c>
    </row>
    <row r="37" spans="2:16" ht="12.95" customHeight="1" x14ac:dyDescent="0.2">
      <c r="B37" s="10"/>
      <c r="C37" s="11"/>
      <c r="D37" s="11"/>
      <c r="E37" s="252"/>
      <c r="F37" s="128">
        <v>616200</v>
      </c>
      <c r="G37" s="133" t="s">
        <v>425</v>
      </c>
      <c r="H37" s="37" t="s">
        <v>426</v>
      </c>
      <c r="I37" s="251">
        <v>2600</v>
      </c>
      <c r="J37" s="251">
        <v>2600</v>
      </c>
      <c r="K37" s="253">
        <v>0</v>
      </c>
      <c r="L37" s="151">
        <v>0</v>
      </c>
      <c r="M37" s="478">
        <f t="shared" si="10"/>
        <v>0</v>
      </c>
      <c r="N37" s="539">
        <f t="shared" si="1"/>
        <v>0</v>
      </c>
    </row>
    <row r="38" spans="2:16" ht="7.5" customHeight="1" x14ac:dyDescent="0.25">
      <c r="B38" s="10"/>
      <c r="C38" s="11"/>
      <c r="D38" s="11"/>
      <c r="E38" s="11"/>
      <c r="F38" s="122"/>
      <c r="G38" s="136"/>
      <c r="H38" s="11"/>
      <c r="I38" s="250"/>
      <c r="J38" s="250"/>
      <c r="K38" s="319"/>
      <c r="L38" s="153"/>
      <c r="M38" s="476"/>
      <c r="N38" s="539" t="str">
        <f t="shared" si="1"/>
        <v/>
      </c>
    </row>
    <row r="39" spans="2:16" ht="12.95" customHeight="1" x14ac:dyDescent="0.25">
      <c r="B39" s="12"/>
      <c r="C39" s="8"/>
      <c r="D39" s="8"/>
      <c r="E39" s="8"/>
      <c r="F39" s="121">
        <v>821000</v>
      </c>
      <c r="G39" s="135"/>
      <c r="H39" s="8" t="s">
        <v>427</v>
      </c>
      <c r="I39" s="250">
        <f t="shared" ref="I39:J39" si="11">SUM(I40:I41)</f>
        <v>15000</v>
      </c>
      <c r="J39" s="250">
        <f t="shared" si="11"/>
        <v>15000</v>
      </c>
      <c r="K39" s="319">
        <f t="shared" ref="K39" si="12">SUM(K40:K41)</f>
        <v>15000</v>
      </c>
      <c r="L39" s="153">
        <f>SUM(L40:L41)</f>
        <v>0</v>
      </c>
      <c r="M39" s="476">
        <f>SUM(M40:M41)</f>
        <v>15000</v>
      </c>
      <c r="N39" s="538">
        <f t="shared" si="1"/>
        <v>100</v>
      </c>
    </row>
    <row r="40" spans="2:16" ht="12.95" customHeight="1" x14ac:dyDescent="0.2">
      <c r="B40" s="10"/>
      <c r="C40" s="11"/>
      <c r="D40" s="11"/>
      <c r="E40" s="11"/>
      <c r="F40" s="122">
        <v>821200</v>
      </c>
      <c r="G40" s="136"/>
      <c r="H40" s="11" t="s">
        <v>429</v>
      </c>
      <c r="I40" s="251">
        <v>0</v>
      </c>
      <c r="J40" s="251">
        <v>0</v>
      </c>
      <c r="K40" s="254">
        <v>0</v>
      </c>
      <c r="L40" s="154">
        <v>0</v>
      </c>
      <c r="M40" s="478">
        <f t="shared" ref="M40:M41" si="13">SUM(K40:L40)</f>
        <v>0</v>
      </c>
      <c r="N40" s="539" t="str">
        <f t="shared" si="1"/>
        <v/>
      </c>
    </row>
    <row r="41" spans="2:16" s="1" customFormat="1" ht="12.95" customHeight="1" x14ac:dyDescent="0.2">
      <c r="B41" s="10"/>
      <c r="C41" s="11"/>
      <c r="D41" s="11"/>
      <c r="E41" s="11"/>
      <c r="F41" s="122">
        <v>821300</v>
      </c>
      <c r="G41" s="136"/>
      <c r="H41" s="11" t="s">
        <v>430</v>
      </c>
      <c r="I41" s="251">
        <v>15000</v>
      </c>
      <c r="J41" s="251">
        <v>15000</v>
      </c>
      <c r="K41" s="254">
        <v>15000</v>
      </c>
      <c r="L41" s="154">
        <v>0</v>
      </c>
      <c r="M41" s="478">
        <f t="shared" si="13"/>
        <v>15000</v>
      </c>
      <c r="N41" s="539">
        <f t="shared" si="1"/>
        <v>100</v>
      </c>
    </row>
    <row r="42" spans="2:16" ht="7.5" customHeight="1" x14ac:dyDescent="0.2">
      <c r="B42" s="10"/>
      <c r="C42" s="11"/>
      <c r="D42" s="11"/>
      <c r="E42" s="11"/>
      <c r="F42" s="122"/>
      <c r="G42" s="136"/>
      <c r="H42" s="11"/>
      <c r="I42" s="251"/>
      <c r="J42" s="251"/>
      <c r="K42" s="253"/>
      <c r="L42" s="151"/>
      <c r="M42" s="478"/>
      <c r="N42" s="539" t="str">
        <f t="shared" si="1"/>
        <v/>
      </c>
    </row>
    <row r="43" spans="2:16" ht="12.95" customHeight="1" x14ac:dyDescent="0.25">
      <c r="B43" s="12"/>
      <c r="C43" s="8"/>
      <c r="D43" s="8"/>
      <c r="E43" s="8"/>
      <c r="F43" s="121">
        <v>823000</v>
      </c>
      <c r="G43" s="135"/>
      <c r="H43" s="8" t="s">
        <v>506</v>
      </c>
      <c r="I43" s="250">
        <f t="shared" ref="I43:J43" si="14">SUM(I44:I45)</f>
        <v>510020</v>
      </c>
      <c r="J43" s="250">
        <f t="shared" si="14"/>
        <v>510020</v>
      </c>
      <c r="K43" s="319">
        <f t="shared" ref="K43" si="15">SUM(K44:K45)</f>
        <v>518870</v>
      </c>
      <c r="L43" s="153">
        <f>SUM(L44:L45)</f>
        <v>0</v>
      </c>
      <c r="M43" s="476">
        <f>SUM(M44:M45)</f>
        <v>518870</v>
      </c>
      <c r="N43" s="538">
        <f t="shared" si="1"/>
        <v>101.73522606956591</v>
      </c>
    </row>
    <row r="44" spans="2:16" ht="12.95" customHeight="1" x14ac:dyDescent="0.2">
      <c r="B44" s="10"/>
      <c r="C44" s="11"/>
      <c r="D44" s="11"/>
      <c r="E44" s="11"/>
      <c r="F44" s="122">
        <v>823200</v>
      </c>
      <c r="G44" s="136" t="s">
        <v>423</v>
      </c>
      <c r="H44" s="274" t="s">
        <v>507</v>
      </c>
      <c r="I44" s="251">
        <v>79730</v>
      </c>
      <c r="J44" s="251">
        <v>79730</v>
      </c>
      <c r="K44" s="254">
        <v>88580</v>
      </c>
      <c r="L44" s="154">
        <v>0</v>
      </c>
      <c r="M44" s="478">
        <f t="shared" ref="M44:M45" si="16">SUM(K44:L44)</f>
        <v>88580</v>
      </c>
      <c r="N44" s="539">
        <f t="shared" si="1"/>
        <v>111.09996237300889</v>
      </c>
    </row>
    <row r="45" spans="2:16" ht="12.95" customHeight="1" x14ac:dyDescent="0.2">
      <c r="B45" s="10"/>
      <c r="C45" s="11"/>
      <c r="D45" s="11"/>
      <c r="E45" s="11"/>
      <c r="F45" s="122">
        <v>823200</v>
      </c>
      <c r="G45" s="136" t="s">
        <v>425</v>
      </c>
      <c r="H45" s="274" t="s">
        <v>508</v>
      </c>
      <c r="I45" s="251">
        <v>430290</v>
      </c>
      <c r="J45" s="251">
        <v>430290</v>
      </c>
      <c r="K45" s="254">
        <v>430290</v>
      </c>
      <c r="L45" s="154">
        <v>0</v>
      </c>
      <c r="M45" s="478">
        <f t="shared" si="16"/>
        <v>430290</v>
      </c>
      <c r="N45" s="539">
        <f t="shared" si="1"/>
        <v>100</v>
      </c>
    </row>
    <row r="46" spans="2:16" ht="8.25" customHeight="1" x14ac:dyDescent="0.2">
      <c r="B46" s="10"/>
      <c r="C46" s="11"/>
      <c r="D46" s="11"/>
      <c r="E46" s="11"/>
      <c r="F46" s="122"/>
      <c r="G46" s="136"/>
      <c r="H46" s="11"/>
      <c r="I46" s="257"/>
      <c r="J46" s="257"/>
      <c r="K46" s="297"/>
      <c r="L46" s="274"/>
      <c r="M46" s="511"/>
      <c r="N46" s="539" t="str">
        <f t="shared" si="1"/>
        <v/>
      </c>
    </row>
    <row r="47" spans="2:16" ht="12.95" customHeight="1" x14ac:dyDescent="0.25">
      <c r="B47" s="12"/>
      <c r="C47" s="8"/>
      <c r="D47" s="8"/>
      <c r="E47" s="8"/>
      <c r="F47" s="121"/>
      <c r="G47" s="135"/>
      <c r="H47" s="8" t="s">
        <v>441</v>
      </c>
      <c r="I47" s="312">
        <v>17</v>
      </c>
      <c r="J47" s="312">
        <v>17</v>
      </c>
      <c r="K47" s="551" t="s">
        <v>792</v>
      </c>
      <c r="L47" s="323"/>
      <c r="M47" s="517" t="s">
        <v>792</v>
      </c>
      <c r="N47" s="539"/>
    </row>
    <row r="48" spans="2:16" ht="12.95" customHeight="1" x14ac:dyDescent="0.25">
      <c r="B48" s="12"/>
      <c r="C48" s="8"/>
      <c r="D48" s="8"/>
      <c r="E48" s="8"/>
      <c r="F48" s="121"/>
      <c r="G48" s="135"/>
      <c r="H48" s="8" t="s">
        <v>453</v>
      </c>
      <c r="I48" s="259">
        <f>I8+I11+I15+I18+I30+I35+I39+I43</f>
        <v>2427020</v>
      </c>
      <c r="J48" s="259">
        <f t="shared" ref="J48:M48" si="17">J8+J11+J15+J18+J30+J35+J39+J43</f>
        <v>2427020</v>
      </c>
      <c r="K48" s="262">
        <f t="shared" si="17"/>
        <v>2060070</v>
      </c>
      <c r="L48" s="14">
        <f t="shared" si="17"/>
        <v>0</v>
      </c>
      <c r="M48" s="476">
        <f t="shared" si="17"/>
        <v>2060070</v>
      </c>
      <c r="N48" s="538">
        <f>IF(J48=0,"",M48/J48*100)</f>
        <v>84.88063551186228</v>
      </c>
      <c r="P48" s="44"/>
    </row>
    <row r="49" spans="2:14" s="1" customFormat="1" ht="12.95" customHeight="1" x14ac:dyDescent="0.25">
      <c r="B49" s="12"/>
      <c r="C49" s="8"/>
      <c r="D49" s="8"/>
      <c r="E49" s="8"/>
      <c r="F49" s="121"/>
      <c r="G49" s="135"/>
      <c r="H49" s="8" t="s">
        <v>454</v>
      </c>
      <c r="I49" s="259">
        <f t="shared" ref="I49:M50" si="18">I48</f>
        <v>2427020</v>
      </c>
      <c r="J49" s="259">
        <f t="shared" si="18"/>
        <v>2427020</v>
      </c>
      <c r="K49" s="262">
        <f t="shared" si="18"/>
        <v>2060070</v>
      </c>
      <c r="L49" s="14">
        <f t="shared" si="18"/>
        <v>0</v>
      </c>
      <c r="M49" s="476">
        <f t="shared" si="18"/>
        <v>2060070</v>
      </c>
      <c r="N49" s="538">
        <f>IF(J49=0,"",M49/J49*100)</f>
        <v>84.88063551186228</v>
      </c>
    </row>
    <row r="50" spans="2:14" s="1" customFormat="1" ht="12.95" customHeight="1" x14ac:dyDescent="0.25">
      <c r="B50" s="12"/>
      <c r="C50" s="8"/>
      <c r="D50" s="8"/>
      <c r="E50" s="8"/>
      <c r="F50" s="121"/>
      <c r="G50" s="135"/>
      <c r="H50" s="8" t="s">
        <v>455</v>
      </c>
      <c r="I50" s="259">
        <f t="shared" si="18"/>
        <v>2427020</v>
      </c>
      <c r="J50" s="259">
        <f t="shared" si="18"/>
        <v>2427020</v>
      </c>
      <c r="K50" s="262">
        <f t="shared" si="18"/>
        <v>2060070</v>
      </c>
      <c r="L50" s="14">
        <f t="shared" si="18"/>
        <v>0</v>
      </c>
      <c r="M50" s="476">
        <f t="shared" si="18"/>
        <v>2060070</v>
      </c>
      <c r="N50" s="538">
        <f>IF(J50=0,"",M50/J50*100)</f>
        <v>84.88063551186228</v>
      </c>
    </row>
    <row r="51" spans="2:14" s="1" customFormat="1" ht="6.75" customHeight="1" thickBot="1" x14ac:dyDescent="0.25">
      <c r="B51" s="15"/>
      <c r="C51" s="16"/>
      <c r="D51" s="16"/>
      <c r="E51" s="16"/>
      <c r="F51" s="123"/>
      <c r="G51" s="137"/>
      <c r="H51" s="16"/>
      <c r="I51" s="16"/>
      <c r="J51" s="25"/>
      <c r="K51" s="15"/>
      <c r="L51" s="16"/>
      <c r="M51" s="496"/>
      <c r="N51" s="540"/>
    </row>
    <row r="52" spans="2:14" s="1" customFormat="1" ht="12.95" customHeight="1" x14ac:dyDescent="0.2">
      <c r="B52" s="9"/>
      <c r="C52" s="9"/>
      <c r="D52" s="9"/>
      <c r="E52" s="9"/>
      <c r="F52" s="124"/>
      <c r="G52" s="138"/>
      <c r="H52" s="9"/>
      <c r="I52" s="9"/>
      <c r="J52" s="9"/>
      <c r="K52" s="9"/>
      <c r="L52" s="9"/>
      <c r="M52" s="161"/>
      <c r="N52" s="145"/>
    </row>
    <row r="53" spans="2:14" ht="12.95" customHeight="1" x14ac:dyDescent="0.2">
      <c r="F53" s="124"/>
      <c r="G53" s="138"/>
      <c r="K53" s="44"/>
      <c r="M53" s="161"/>
    </row>
    <row r="54" spans="2:14" ht="12.95" customHeight="1" x14ac:dyDescent="0.2">
      <c r="F54" s="124"/>
      <c r="G54" s="138"/>
      <c r="M54" s="161"/>
    </row>
    <row r="55" spans="2:14" ht="12.95" customHeight="1" x14ac:dyDescent="0.2">
      <c r="F55" s="124"/>
      <c r="G55" s="138"/>
      <c r="M55" s="161"/>
    </row>
    <row r="56" spans="2:14" ht="12.95" customHeight="1" x14ac:dyDescent="0.2">
      <c r="F56" s="124"/>
      <c r="G56" s="138"/>
      <c r="M56" s="161"/>
    </row>
    <row r="57" spans="2:14" ht="12.95" customHeight="1" x14ac:dyDescent="0.2">
      <c r="F57" s="124"/>
      <c r="G57" s="138"/>
      <c r="M57" s="161"/>
    </row>
    <row r="58" spans="2:14" ht="17.100000000000001" customHeight="1" x14ac:dyDescent="0.2">
      <c r="F58" s="124"/>
      <c r="G58" s="138"/>
      <c r="M58" s="161"/>
    </row>
    <row r="59" spans="2:14" ht="14.25" x14ac:dyDescent="0.2">
      <c r="F59" s="124"/>
      <c r="G59" s="138"/>
      <c r="M59" s="161"/>
    </row>
    <row r="60" spans="2:14" ht="14.25" x14ac:dyDescent="0.2">
      <c r="F60" s="124"/>
      <c r="G60" s="138"/>
      <c r="M60" s="161"/>
    </row>
    <row r="61" spans="2:14" ht="14.25" x14ac:dyDescent="0.2">
      <c r="F61" s="124"/>
      <c r="G61" s="138"/>
      <c r="M61" s="161"/>
    </row>
    <row r="62" spans="2:14" ht="14.25" x14ac:dyDescent="0.2">
      <c r="F62" s="124"/>
      <c r="G62" s="138"/>
      <c r="M62" s="161"/>
    </row>
    <row r="63" spans="2:14" ht="14.25" x14ac:dyDescent="0.2">
      <c r="F63" s="124"/>
      <c r="G63" s="138"/>
      <c r="M63" s="161"/>
    </row>
    <row r="64" spans="2:14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6692913385826772" right="0.23622047244094491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  <colBreaks count="1" manualBreakCount="1">
    <brk id="14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0"/>
  <dimension ref="B1:Q94"/>
  <sheetViews>
    <sheetView zoomScaleNormal="100" zoomScaleSheetLayoutView="13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509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510</v>
      </c>
      <c r="C7" s="7" t="s">
        <v>451</v>
      </c>
      <c r="D7" s="7" t="s">
        <v>452</v>
      </c>
      <c r="E7" s="286" t="s">
        <v>753</v>
      </c>
      <c r="F7" s="5"/>
      <c r="G7" s="5"/>
      <c r="H7" s="5"/>
      <c r="I7" s="5"/>
      <c r="J7" s="5"/>
      <c r="K7" s="4"/>
      <c r="L7" s="5"/>
      <c r="M7" s="502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423110</v>
      </c>
      <c r="J8" s="153">
        <f>SUM(J9:J11)</f>
        <v>423110</v>
      </c>
      <c r="K8" s="319">
        <f>SUM(K9:K11)</f>
        <v>459770</v>
      </c>
      <c r="L8" s="153">
        <f>SUM(L9:L11)</f>
        <v>0</v>
      </c>
      <c r="M8" s="503">
        <f>SUM(M9:M11)</f>
        <v>459770</v>
      </c>
      <c r="N8" s="538">
        <f t="shared" ref="N8:N35" si="0">IF(J8=0,"",M8/J8*100)</f>
        <v>108.66441350948925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356100+800+400</f>
        <v>357300</v>
      </c>
      <c r="J9" s="151">
        <f>356100+800+400</f>
        <v>357300</v>
      </c>
      <c r="K9" s="253">
        <f>358790+2*1700*7+8970</f>
        <v>391560</v>
      </c>
      <c r="L9" s="151">
        <v>0</v>
      </c>
      <c r="M9" s="504">
        <f>SUM(K9:L9)</f>
        <v>391560</v>
      </c>
      <c r="N9" s="539">
        <f t="shared" si="0"/>
        <v>109.5885810243493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59610+1400+400+11*400</f>
        <v>65810</v>
      </c>
      <c r="J10" s="151">
        <f>59610+1400+400+11*400</f>
        <v>65810</v>
      </c>
      <c r="K10" s="253">
        <f>53210+8000+7000</f>
        <v>68210</v>
      </c>
      <c r="L10" s="151">
        <v>0</v>
      </c>
      <c r="M10" s="504">
        <f t="shared" ref="M10" si="1">SUM(K10:L10)</f>
        <v>68210</v>
      </c>
      <c r="N10" s="539">
        <f t="shared" si="0"/>
        <v>103.64686217900014</v>
      </c>
    </row>
    <row r="11" spans="2:16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37700</v>
      </c>
      <c r="J12" s="153">
        <f t="shared" si="2"/>
        <v>37700</v>
      </c>
      <c r="K12" s="319">
        <f>K13</f>
        <v>43940</v>
      </c>
      <c r="L12" s="153">
        <f>L13</f>
        <v>0</v>
      </c>
      <c r="M12" s="503">
        <f>M13</f>
        <v>43940</v>
      </c>
      <c r="N12" s="538">
        <f t="shared" si="0"/>
        <v>116.55172413793105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37420+220+60</f>
        <v>37700</v>
      </c>
      <c r="J13" s="151">
        <f>37420+220+60</f>
        <v>37700</v>
      </c>
      <c r="K13" s="253">
        <f>40290+2*190*7+990</f>
        <v>43940</v>
      </c>
      <c r="L13" s="151">
        <v>0</v>
      </c>
      <c r="M13" s="504">
        <f>SUM(K13:L13)</f>
        <v>43940</v>
      </c>
      <c r="N13" s="539">
        <f t="shared" si="0"/>
        <v>116.55172413793105</v>
      </c>
    </row>
    <row r="14" spans="2:16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91500</v>
      </c>
      <c r="J15" s="155">
        <f>SUM(J16:J24)</f>
        <v>91500</v>
      </c>
      <c r="K15" s="320">
        <f>SUM(K16:K24)</f>
        <v>91500</v>
      </c>
      <c r="L15" s="155">
        <f>SUM(L16:L24)</f>
        <v>0</v>
      </c>
      <c r="M15" s="476">
        <f>SUM(M16:M24)</f>
        <v>91500</v>
      </c>
      <c r="N15" s="538">
        <f t="shared" si="0"/>
        <v>100</v>
      </c>
      <c r="P15" s="45"/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3500</v>
      </c>
      <c r="J16" s="151">
        <v>3500</v>
      </c>
      <c r="K16" s="253">
        <v>3500</v>
      </c>
      <c r="L16" s="151">
        <v>0</v>
      </c>
      <c r="M16" s="504">
        <f t="shared" ref="M16:M24" si="3">SUM(K16:L16)</f>
        <v>3500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3"/>
        <v>0</v>
      </c>
      <c r="N17" s="539" t="str">
        <f t="shared" si="0"/>
        <v/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16000</v>
      </c>
      <c r="J18" s="151">
        <v>16000</v>
      </c>
      <c r="K18" s="253">
        <v>16000</v>
      </c>
      <c r="L18" s="151">
        <v>0</v>
      </c>
      <c r="M18" s="504">
        <f t="shared" si="3"/>
        <v>16000</v>
      </c>
      <c r="N18" s="539">
        <f t="shared" si="0"/>
        <v>100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1000</v>
      </c>
      <c r="J19" s="151">
        <v>1000</v>
      </c>
      <c r="K19" s="253">
        <v>1000</v>
      </c>
      <c r="L19" s="151">
        <v>0</v>
      </c>
      <c r="M19" s="504">
        <f t="shared" si="3"/>
        <v>1000</v>
      </c>
      <c r="N19" s="539">
        <f t="shared" si="0"/>
        <v>100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1000</v>
      </c>
      <c r="J22" s="151">
        <v>1000</v>
      </c>
      <c r="K22" s="253">
        <v>1000</v>
      </c>
      <c r="L22" s="151">
        <v>0</v>
      </c>
      <c r="M22" s="504">
        <f t="shared" si="3"/>
        <v>1000</v>
      </c>
      <c r="N22" s="539">
        <f t="shared" si="0"/>
        <v>100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70000</v>
      </c>
      <c r="J24" s="154">
        <v>70000</v>
      </c>
      <c r="K24" s="254">
        <v>70000</v>
      </c>
      <c r="L24" s="154">
        <v>0</v>
      </c>
      <c r="M24" s="504">
        <f t="shared" si="3"/>
        <v>70000</v>
      </c>
      <c r="N24" s="539">
        <f t="shared" si="0"/>
        <v>100</v>
      </c>
    </row>
    <row r="25" spans="2:15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614000</v>
      </c>
      <c r="G26" s="135"/>
      <c r="H26" s="23" t="s">
        <v>339</v>
      </c>
      <c r="I26" s="153">
        <f t="shared" ref="I26:J26" si="4">SUM(I27:I30)</f>
        <v>5675000</v>
      </c>
      <c r="J26" s="153">
        <f t="shared" si="4"/>
        <v>5675000</v>
      </c>
      <c r="K26" s="319">
        <f t="shared" ref="K26:L26" si="5">SUM(K27:K30)</f>
        <v>5618680</v>
      </c>
      <c r="L26" s="153">
        <f t="shared" si="5"/>
        <v>271320</v>
      </c>
      <c r="M26" s="476">
        <f t="shared" ref="M26" si="6">SUM(M27:M30)</f>
        <v>5890000</v>
      </c>
      <c r="N26" s="538">
        <f t="shared" si="0"/>
        <v>103.7885462555066</v>
      </c>
    </row>
    <row r="27" spans="2:15" ht="12.95" customHeight="1" x14ac:dyDescent="0.2">
      <c r="B27" s="10"/>
      <c r="C27" s="11"/>
      <c r="D27" s="22"/>
      <c r="E27" s="22"/>
      <c r="F27" s="122">
        <v>614100</v>
      </c>
      <c r="G27" s="136"/>
      <c r="H27" s="302" t="s">
        <v>511</v>
      </c>
      <c r="I27" s="154">
        <v>900000</v>
      </c>
      <c r="J27" s="154">
        <v>900000</v>
      </c>
      <c r="K27" s="254">
        <v>500000</v>
      </c>
      <c r="L27" s="154">
        <v>0</v>
      </c>
      <c r="M27" s="504">
        <f t="shared" ref="M27:M29" si="7">SUM(K27:L27)</f>
        <v>500000</v>
      </c>
      <c r="N27" s="539">
        <f t="shared" si="0"/>
        <v>55.555555555555557</v>
      </c>
      <c r="O27" s="277"/>
    </row>
    <row r="28" spans="2:15" ht="12.95" customHeight="1" x14ac:dyDescent="0.2">
      <c r="B28" s="10"/>
      <c r="C28" s="11"/>
      <c r="D28" s="11"/>
      <c r="E28" s="11"/>
      <c r="F28" s="122">
        <v>614200</v>
      </c>
      <c r="G28" s="136" t="s">
        <v>361</v>
      </c>
      <c r="H28" s="293" t="s">
        <v>512</v>
      </c>
      <c r="I28" s="154">
        <v>95000</v>
      </c>
      <c r="J28" s="154">
        <v>95000</v>
      </c>
      <c r="K28" s="254">
        <v>150000</v>
      </c>
      <c r="L28" s="154">
        <v>0</v>
      </c>
      <c r="M28" s="504">
        <f t="shared" si="7"/>
        <v>150000</v>
      </c>
      <c r="N28" s="539">
        <f t="shared" si="0"/>
        <v>157.89473684210526</v>
      </c>
    </row>
    <row r="29" spans="2:15" ht="12.95" customHeight="1" x14ac:dyDescent="0.2">
      <c r="B29" s="10"/>
      <c r="C29" s="11"/>
      <c r="D29" s="11"/>
      <c r="E29" s="11"/>
      <c r="F29" s="122">
        <v>614200</v>
      </c>
      <c r="G29" s="136" t="s">
        <v>363</v>
      </c>
      <c r="H29" s="293" t="s">
        <v>513</v>
      </c>
      <c r="I29" s="154">
        <v>4550000</v>
      </c>
      <c r="J29" s="154">
        <v>4550000</v>
      </c>
      <c r="K29" s="254">
        <f>5100000-L29</f>
        <v>4828680</v>
      </c>
      <c r="L29" s="154">
        <v>271320</v>
      </c>
      <c r="M29" s="504">
        <f t="shared" si="7"/>
        <v>5100000</v>
      </c>
      <c r="N29" s="539">
        <f t="shared" si="0"/>
        <v>112.08791208791209</v>
      </c>
    </row>
    <row r="30" spans="2:15" ht="12.95" customHeight="1" x14ac:dyDescent="0.2">
      <c r="B30" s="10"/>
      <c r="C30" s="11"/>
      <c r="D30" s="11"/>
      <c r="E30" s="11"/>
      <c r="F30" s="122">
        <v>614300</v>
      </c>
      <c r="G30" s="136" t="s">
        <v>385</v>
      </c>
      <c r="H30" s="293" t="s">
        <v>514</v>
      </c>
      <c r="I30" s="154">
        <v>130000</v>
      </c>
      <c r="J30" s="154">
        <v>130000</v>
      </c>
      <c r="K30" s="254">
        <v>140000</v>
      </c>
      <c r="L30" s="154">
        <v>0</v>
      </c>
      <c r="M30" s="504">
        <f t="shared" ref="M30" si="8">SUM(K30:L30)</f>
        <v>140000</v>
      </c>
      <c r="N30" s="539">
        <f t="shared" si="0"/>
        <v>107.69230769230769</v>
      </c>
    </row>
    <row r="31" spans="2:15" ht="12.95" customHeight="1" x14ac:dyDescent="0.2">
      <c r="B31" s="10"/>
      <c r="C31" s="11"/>
      <c r="D31" s="11"/>
      <c r="E31" s="11"/>
      <c r="F31" s="122"/>
      <c r="G31" s="136"/>
      <c r="H31" s="22"/>
      <c r="I31" s="151"/>
      <c r="J31" s="151"/>
      <c r="K31" s="253"/>
      <c r="L31" s="151"/>
      <c r="M31" s="478"/>
      <c r="N31" s="539" t="str">
        <f t="shared" si="0"/>
        <v/>
      </c>
    </row>
    <row r="32" spans="2:15" ht="12.95" customHeight="1" x14ac:dyDescent="0.25">
      <c r="B32" s="12"/>
      <c r="C32" s="8"/>
      <c r="D32" s="8"/>
      <c r="E32" s="8"/>
      <c r="F32" s="121">
        <v>821000</v>
      </c>
      <c r="G32" s="135"/>
      <c r="H32" s="23" t="s">
        <v>427</v>
      </c>
      <c r="I32" s="153">
        <f t="shared" ref="I32:J32" si="9">I33+I34</f>
        <v>3400</v>
      </c>
      <c r="J32" s="153">
        <f t="shared" si="9"/>
        <v>3400</v>
      </c>
      <c r="K32" s="319">
        <f>K33+K34</f>
        <v>3500</v>
      </c>
      <c r="L32" s="153">
        <f>L33+L34</f>
        <v>0</v>
      </c>
      <c r="M32" s="476">
        <f>M33+M34</f>
        <v>3500</v>
      </c>
      <c r="N32" s="538">
        <f t="shared" si="0"/>
        <v>102.94117647058823</v>
      </c>
    </row>
    <row r="33" spans="2:17" s="1" customFormat="1" ht="12.95" customHeight="1" x14ac:dyDescent="0.2">
      <c r="B33" s="10"/>
      <c r="C33" s="11"/>
      <c r="D33" s="11"/>
      <c r="E33" s="11"/>
      <c r="F33" s="122">
        <v>821200</v>
      </c>
      <c r="G33" s="136"/>
      <c r="H33" s="22" t="s">
        <v>429</v>
      </c>
      <c r="I33" s="151">
        <v>0</v>
      </c>
      <c r="J33" s="151">
        <v>0</v>
      </c>
      <c r="K33" s="253">
        <v>0</v>
      </c>
      <c r="L33" s="151">
        <v>0</v>
      </c>
      <c r="M33" s="504">
        <f t="shared" ref="M33:M34" si="10">SUM(K33:L33)</f>
        <v>0</v>
      </c>
      <c r="N33" s="539" t="str">
        <f t="shared" si="0"/>
        <v/>
      </c>
      <c r="O33" s="1" t="s">
        <v>515</v>
      </c>
    </row>
    <row r="34" spans="2:17" ht="12.95" customHeight="1" x14ac:dyDescent="0.2">
      <c r="B34" s="10"/>
      <c r="C34" s="11"/>
      <c r="D34" s="11"/>
      <c r="E34" s="11"/>
      <c r="F34" s="122">
        <v>821300</v>
      </c>
      <c r="G34" s="136"/>
      <c r="H34" s="22" t="s">
        <v>430</v>
      </c>
      <c r="I34" s="151">
        <v>3400</v>
      </c>
      <c r="J34" s="151">
        <v>3400</v>
      </c>
      <c r="K34" s="253">
        <v>3500</v>
      </c>
      <c r="L34" s="151">
        <v>0</v>
      </c>
      <c r="M34" s="504">
        <f t="shared" si="10"/>
        <v>3500</v>
      </c>
      <c r="N34" s="539">
        <f t="shared" si="0"/>
        <v>102.94117647058823</v>
      </c>
      <c r="P34" s="277"/>
      <c r="Q34" s="571"/>
    </row>
    <row r="35" spans="2:17" ht="12.95" customHeight="1" x14ac:dyDescent="0.2">
      <c r="B35" s="10"/>
      <c r="C35" s="11"/>
      <c r="D35" s="11"/>
      <c r="E35" s="11"/>
      <c r="F35" s="122"/>
      <c r="G35" s="136"/>
      <c r="H35" s="22"/>
      <c r="I35" s="151"/>
      <c r="J35" s="151"/>
      <c r="K35" s="253"/>
      <c r="L35" s="151"/>
      <c r="M35" s="478"/>
      <c r="N35" s="539" t="str">
        <f t="shared" si="0"/>
        <v/>
      </c>
      <c r="Q35" s="571"/>
    </row>
    <row r="36" spans="2:17" ht="12.95" customHeight="1" x14ac:dyDescent="0.25">
      <c r="B36" s="12"/>
      <c r="C36" s="8"/>
      <c r="D36" s="8"/>
      <c r="E36" s="8"/>
      <c r="F36" s="121"/>
      <c r="G36" s="135"/>
      <c r="H36" s="23" t="s">
        <v>441</v>
      </c>
      <c r="I36" s="269">
        <v>11</v>
      </c>
      <c r="J36" s="269">
        <v>11</v>
      </c>
      <c r="K36" s="321" t="s">
        <v>891</v>
      </c>
      <c r="L36" s="269"/>
      <c r="M36" s="471" t="s">
        <v>891</v>
      </c>
      <c r="N36" s="539"/>
    </row>
    <row r="37" spans="2:17" s="1" customFormat="1" ht="12.95" customHeight="1" x14ac:dyDescent="0.25">
      <c r="B37" s="12"/>
      <c r="C37" s="8"/>
      <c r="D37" s="8"/>
      <c r="E37" s="8"/>
      <c r="F37" s="121"/>
      <c r="G37" s="135"/>
      <c r="H37" s="8" t="s">
        <v>453</v>
      </c>
      <c r="I37" s="259">
        <f>I8+I12+I15+I26+I32</f>
        <v>6230710</v>
      </c>
      <c r="J37" s="14">
        <f>J8+J12+J15+J26+J32</f>
        <v>6230710</v>
      </c>
      <c r="K37" s="262">
        <f>K8+K12+K15+K26+K32</f>
        <v>6217390</v>
      </c>
      <c r="L37" s="14">
        <f>L8+L12+L15+L26+L32</f>
        <v>271320</v>
      </c>
      <c r="M37" s="476">
        <f>M8+M12+M15+M26+M32</f>
        <v>6488710</v>
      </c>
      <c r="N37" s="538">
        <f>IF(J37=0,"",M37/J37*100)</f>
        <v>104.1407801037121</v>
      </c>
    </row>
    <row r="38" spans="2:17" s="1" customFormat="1" ht="12.95" customHeight="1" x14ac:dyDescent="0.25">
      <c r="B38" s="12"/>
      <c r="C38" s="8"/>
      <c r="D38" s="8"/>
      <c r="E38" s="8"/>
      <c r="F38" s="121"/>
      <c r="G38" s="135"/>
      <c r="H38" s="8" t="s">
        <v>454</v>
      </c>
      <c r="I38" s="14">
        <f t="shared" ref="I38:I39" si="11">I37</f>
        <v>6230710</v>
      </c>
      <c r="J38" s="14">
        <f t="shared" ref="J38" si="12">J37</f>
        <v>6230710</v>
      </c>
      <c r="K38" s="262">
        <f t="shared" ref="K38:M39" si="13">K37</f>
        <v>6217390</v>
      </c>
      <c r="L38" s="14">
        <f t="shared" si="13"/>
        <v>271320</v>
      </c>
      <c r="M38" s="476">
        <f t="shared" si="13"/>
        <v>6488710</v>
      </c>
      <c r="N38" s="538">
        <f>IF(J38=0,"",M38/J38*100)</f>
        <v>104.1407801037121</v>
      </c>
    </row>
    <row r="39" spans="2:17" s="1" customFormat="1" ht="12.95" customHeight="1" x14ac:dyDescent="0.25">
      <c r="B39" s="12"/>
      <c r="C39" s="8"/>
      <c r="D39" s="8"/>
      <c r="E39" s="8"/>
      <c r="F39" s="121"/>
      <c r="G39" s="135"/>
      <c r="H39" s="8" t="s">
        <v>455</v>
      </c>
      <c r="I39" s="14">
        <f t="shared" si="11"/>
        <v>6230710</v>
      </c>
      <c r="J39" s="14">
        <f t="shared" ref="J39" si="14">J38</f>
        <v>6230710</v>
      </c>
      <c r="K39" s="262">
        <f t="shared" si="13"/>
        <v>6217390</v>
      </c>
      <c r="L39" s="14">
        <f t="shared" si="13"/>
        <v>271320</v>
      </c>
      <c r="M39" s="476">
        <f t="shared" si="13"/>
        <v>6488710</v>
      </c>
      <c r="N39" s="538">
        <f>IF(J39=0,"",M39/J39*100)</f>
        <v>104.1407801037121</v>
      </c>
    </row>
    <row r="40" spans="2:17" s="1" customFormat="1" ht="12.95" customHeight="1" thickBot="1" x14ac:dyDescent="0.25">
      <c r="B40" s="15"/>
      <c r="C40" s="16"/>
      <c r="D40" s="16"/>
      <c r="E40" s="16"/>
      <c r="F40" s="123"/>
      <c r="G40" s="137"/>
      <c r="H40" s="16"/>
      <c r="I40" s="16"/>
      <c r="J40" s="16"/>
      <c r="K40" s="15"/>
      <c r="L40" s="16"/>
      <c r="M40" s="496"/>
      <c r="N40" s="540"/>
    </row>
    <row r="41" spans="2:17" ht="12.95" customHeight="1" x14ac:dyDescent="0.2">
      <c r="F41" s="124"/>
      <c r="G41" s="138"/>
      <c r="K41" s="543"/>
      <c r="M41" s="161"/>
    </row>
    <row r="42" spans="2:17" ht="12.95" customHeight="1" x14ac:dyDescent="0.2">
      <c r="F42" s="124"/>
      <c r="G42" s="138"/>
      <c r="M42" s="161"/>
    </row>
    <row r="43" spans="2:17" ht="12.95" customHeight="1" x14ac:dyDescent="0.2">
      <c r="F43" s="124"/>
      <c r="G43" s="138"/>
      <c r="M43" s="161"/>
    </row>
    <row r="44" spans="2:17" ht="12.95" customHeight="1" x14ac:dyDescent="0.2">
      <c r="F44" s="124"/>
      <c r="G44" s="138"/>
      <c r="M44" s="161"/>
    </row>
    <row r="45" spans="2:17" ht="12.95" customHeight="1" x14ac:dyDescent="0.2">
      <c r="F45" s="124"/>
      <c r="G45" s="138"/>
      <c r="M45" s="161"/>
    </row>
    <row r="46" spans="2:17" ht="12.95" customHeight="1" x14ac:dyDescent="0.2">
      <c r="F46" s="124"/>
      <c r="G46" s="138"/>
      <c r="M46" s="161"/>
    </row>
    <row r="47" spans="2:17" ht="12.95" customHeight="1" x14ac:dyDescent="0.2">
      <c r="F47" s="124"/>
      <c r="G47" s="138"/>
      <c r="M47" s="161"/>
    </row>
    <row r="48" spans="2:17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7.100000000000001" customHeight="1" x14ac:dyDescent="0.2">
      <c r="F59" s="124"/>
      <c r="G59" s="138"/>
      <c r="M59" s="161"/>
    </row>
    <row r="60" spans="6:13" ht="17.100000000000001" customHeight="1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62992125984251968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1"/>
  <dimension ref="B1:Q94"/>
  <sheetViews>
    <sheetView topLeftCell="D6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7" ht="13.5" thickBot="1" x14ac:dyDescent="0.25"/>
    <row r="2" spans="2:17" s="64" customFormat="1" ht="20.100000000000001" customHeight="1" thickTop="1" thickBot="1" x14ac:dyDescent="0.25">
      <c r="B2" s="649" t="s">
        <v>516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7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7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7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7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7" s="2" customFormat="1" ht="12.95" customHeight="1" x14ac:dyDescent="0.25">
      <c r="B7" s="6" t="s">
        <v>517</v>
      </c>
      <c r="C7" s="7" t="s">
        <v>451</v>
      </c>
      <c r="D7" s="7" t="s">
        <v>452</v>
      </c>
      <c r="E7" s="286" t="s">
        <v>662</v>
      </c>
      <c r="F7" s="5"/>
      <c r="G7" s="5"/>
      <c r="H7" s="5"/>
      <c r="I7" s="270"/>
      <c r="J7" s="56"/>
      <c r="K7" s="271"/>
      <c r="L7" s="56"/>
      <c r="M7" s="514"/>
      <c r="N7" s="537"/>
    </row>
    <row r="8" spans="2:17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473920</v>
      </c>
      <c r="J8" s="153">
        <f>SUM(J9:J11)</f>
        <v>473920</v>
      </c>
      <c r="K8" s="319">
        <f>SUM(K9:K11)</f>
        <v>513070</v>
      </c>
      <c r="L8" s="153">
        <f>SUM(L9:L11)</f>
        <v>0</v>
      </c>
      <c r="M8" s="503">
        <f>SUM(M9:M11)</f>
        <v>513070</v>
      </c>
      <c r="N8" s="538">
        <f t="shared" ref="N8:N35" si="0">IF(J8=0,"",M8/J8*100)</f>
        <v>108.26088791357191</v>
      </c>
    </row>
    <row r="9" spans="2:17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368500+1.5*2100+2*800</f>
        <v>373250</v>
      </c>
      <c r="J9" s="154">
        <f>368500+1.5*2100+2*800</f>
        <v>373250</v>
      </c>
      <c r="K9" s="254">
        <f>374400+5000+2230*12+7500+9350</f>
        <v>423010</v>
      </c>
      <c r="L9" s="154">
        <v>0</v>
      </c>
      <c r="M9" s="504">
        <f>SUM(K9:L9)</f>
        <v>423010</v>
      </c>
      <c r="N9" s="539">
        <f t="shared" si="0"/>
        <v>113.3315472203617</v>
      </c>
    </row>
    <row r="10" spans="2:17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86500+2*380+2*1400+5410+13*400</f>
        <v>100670</v>
      </c>
      <c r="J10" s="154">
        <f>86500+2*380+2*1400+5410+13*400</f>
        <v>100670</v>
      </c>
      <c r="K10" s="254">
        <f>73210+11500+5350</f>
        <v>90060</v>
      </c>
      <c r="L10" s="154">
        <v>0</v>
      </c>
      <c r="M10" s="504">
        <f t="shared" ref="M10" si="1">SUM(K10:L10)</f>
        <v>90060</v>
      </c>
      <c r="N10" s="539">
        <f t="shared" si="0"/>
        <v>89.46061388695739</v>
      </c>
    </row>
    <row r="11" spans="2:17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7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39660</v>
      </c>
      <c r="J12" s="153">
        <f t="shared" si="2"/>
        <v>39660</v>
      </c>
      <c r="K12" s="319">
        <f>K13</f>
        <v>48450</v>
      </c>
      <c r="L12" s="153">
        <f>L13</f>
        <v>0</v>
      </c>
      <c r="M12" s="503">
        <f>M13</f>
        <v>48450</v>
      </c>
      <c r="N12" s="538">
        <f t="shared" si="0"/>
        <v>122.16338880484115</v>
      </c>
    </row>
    <row r="13" spans="2:17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38720+2*250+2*220</f>
        <v>39660</v>
      </c>
      <c r="J13" s="154">
        <f>38720+2*250+2*220</f>
        <v>39660</v>
      </c>
      <c r="K13" s="254">
        <f>44420+250*12+1030</f>
        <v>48450</v>
      </c>
      <c r="L13" s="154">
        <v>0</v>
      </c>
      <c r="M13" s="504">
        <f>SUM(K13:L13)</f>
        <v>48450</v>
      </c>
      <c r="N13" s="539">
        <f t="shared" si="0"/>
        <v>122.16338880484115</v>
      </c>
    </row>
    <row r="14" spans="2:17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7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SUM(I16:I25)</f>
        <v>847500</v>
      </c>
      <c r="J15" s="155">
        <f>SUM(J16:J25)</f>
        <v>847500</v>
      </c>
      <c r="K15" s="320">
        <f>SUM(K16:K25)</f>
        <v>108000</v>
      </c>
      <c r="L15" s="155">
        <f>SUM(L16:L25)</f>
        <v>720000</v>
      </c>
      <c r="M15" s="476">
        <f>SUM(M16:M25)</f>
        <v>828000</v>
      </c>
      <c r="N15" s="538">
        <f t="shared" si="0"/>
        <v>97.69911504424779</v>
      </c>
      <c r="P15" s="45"/>
      <c r="Q15" s="45"/>
    </row>
    <row r="16" spans="2:17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5500</v>
      </c>
      <c r="J16" s="154">
        <v>5500</v>
      </c>
      <c r="K16" s="254">
        <v>5500</v>
      </c>
      <c r="L16" s="154">
        <v>0</v>
      </c>
      <c r="M16" s="504">
        <f t="shared" ref="M16:M25" si="3">SUM(K16:L16)</f>
        <v>5500</v>
      </c>
      <c r="N16" s="539">
        <f t="shared" si="0"/>
        <v>100</v>
      </c>
    </row>
    <row r="17" spans="2:17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7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7000</v>
      </c>
      <c r="J18" s="154">
        <v>7000</v>
      </c>
      <c r="K18" s="254">
        <v>7000</v>
      </c>
      <c r="L18" s="154">
        <v>0</v>
      </c>
      <c r="M18" s="504">
        <f t="shared" si="3"/>
        <v>7000</v>
      </c>
      <c r="N18" s="539">
        <f t="shared" si="0"/>
        <v>100</v>
      </c>
    </row>
    <row r="19" spans="2:17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3000</v>
      </c>
      <c r="J19" s="154">
        <v>3000</v>
      </c>
      <c r="K19" s="254">
        <v>4000</v>
      </c>
      <c r="L19" s="154">
        <v>0</v>
      </c>
      <c r="M19" s="504">
        <f t="shared" si="3"/>
        <v>4000</v>
      </c>
      <c r="N19" s="539">
        <f t="shared" si="0"/>
        <v>133.33333333333331</v>
      </c>
    </row>
    <row r="20" spans="2:17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7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7" ht="12.95" customHeight="1" x14ac:dyDescent="0.2">
      <c r="B22" s="10"/>
      <c r="C22" s="11"/>
      <c r="D22" s="11"/>
      <c r="E22" s="283"/>
      <c r="F22" s="127">
        <v>613700</v>
      </c>
      <c r="G22" s="141"/>
      <c r="H22" s="22" t="s">
        <v>318</v>
      </c>
      <c r="I22" s="154">
        <v>10000</v>
      </c>
      <c r="J22" s="154">
        <v>10000</v>
      </c>
      <c r="K22" s="254">
        <v>10000</v>
      </c>
      <c r="L22" s="154">
        <v>0</v>
      </c>
      <c r="M22" s="504">
        <f t="shared" si="3"/>
        <v>10000</v>
      </c>
      <c r="N22" s="539">
        <f t="shared" si="0"/>
        <v>100</v>
      </c>
    </row>
    <row r="23" spans="2:17" ht="12.95" customHeight="1" x14ac:dyDescent="0.2">
      <c r="B23" s="10"/>
      <c r="C23" s="11"/>
      <c r="D23" s="22"/>
      <c r="E23" s="22"/>
      <c r="F23" s="122">
        <v>613700</v>
      </c>
      <c r="G23" s="133" t="s">
        <v>320</v>
      </c>
      <c r="H23" s="303" t="s">
        <v>518</v>
      </c>
      <c r="I23" s="154">
        <v>760000</v>
      </c>
      <c r="J23" s="154">
        <v>760000</v>
      </c>
      <c r="K23" s="254">
        <v>0</v>
      </c>
      <c r="L23" s="154">
        <v>720000</v>
      </c>
      <c r="M23" s="504">
        <f t="shared" si="3"/>
        <v>720000</v>
      </c>
      <c r="N23" s="539">
        <f t="shared" si="0"/>
        <v>94.73684210526315</v>
      </c>
      <c r="P23" s="44"/>
    </row>
    <row r="24" spans="2:17" ht="12.95" customHeight="1" x14ac:dyDescent="0.2">
      <c r="B24" s="10"/>
      <c r="C24" s="11"/>
      <c r="D24" s="11"/>
      <c r="E24" s="282"/>
      <c r="F24" s="126">
        <v>613800</v>
      </c>
      <c r="G24" s="140"/>
      <c r="H24" s="22" t="s">
        <v>322</v>
      </c>
      <c r="I24" s="154">
        <v>0</v>
      </c>
      <c r="J24" s="154">
        <v>0</v>
      </c>
      <c r="K24" s="254">
        <v>0</v>
      </c>
      <c r="L24" s="154">
        <v>0</v>
      </c>
      <c r="M24" s="504">
        <f t="shared" si="3"/>
        <v>0</v>
      </c>
      <c r="N24" s="539" t="str">
        <f t="shared" si="0"/>
        <v/>
      </c>
      <c r="Q24" s="44"/>
    </row>
    <row r="25" spans="2:17" ht="12.95" customHeight="1" x14ac:dyDescent="0.2">
      <c r="B25" s="10"/>
      <c r="C25" s="11"/>
      <c r="D25" s="11"/>
      <c r="E25" s="11"/>
      <c r="F25" s="122">
        <v>613900</v>
      </c>
      <c r="G25" s="136"/>
      <c r="H25" s="22" t="s">
        <v>325</v>
      </c>
      <c r="I25" s="154">
        <v>62000</v>
      </c>
      <c r="J25" s="154">
        <v>62000</v>
      </c>
      <c r="K25" s="254">
        <v>81500</v>
      </c>
      <c r="L25" s="154">
        <v>0</v>
      </c>
      <c r="M25" s="504">
        <f t="shared" si="3"/>
        <v>81500</v>
      </c>
      <c r="N25" s="539">
        <f t="shared" si="0"/>
        <v>131.45161290322579</v>
      </c>
      <c r="O25" s="277"/>
    </row>
    <row r="26" spans="2:17" ht="12.95" customHeight="1" x14ac:dyDescent="0.2">
      <c r="B26" s="10"/>
      <c r="C26" s="11"/>
      <c r="D26" s="11"/>
      <c r="E26" s="11"/>
      <c r="F26" s="122"/>
      <c r="G26" s="136"/>
      <c r="H26" s="22"/>
      <c r="I26" s="154"/>
      <c r="J26" s="154"/>
      <c r="K26" s="254"/>
      <c r="L26" s="154"/>
      <c r="M26" s="478"/>
      <c r="N26" s="539" t="str">
        <f t="shared" si="0"/>
        <v/>
      </c>
    </row>
    <row r="27" spans="2:17" s="1" customFormat="1" ht="12.95" customHeight="1" x14ac:dyDescent="0.25">
      <c r="B27" s="12"/>
      <c r="C27" s="8"/>
      <c r="D27" s="8"/>
      <c r="E27" s="8"/>
      <c r="F27" s="121">
        <v>614000</v>
      </c>
      <c r="G27" s="135"/>
      <c r="H27" s="23" t="s">
        <v>339</v>
      </c>
      <c r="I27" s="153">
        <f t="shared" ref="I27:J27" si="4">I28</f>
        <v>450000</v>
      </c>
      <c r="J27" s="153">
        <f t="shared" si="4"/>
        <v>450000</v>
      </c>
      <c r="K27" s="319">
        <f t="shared" ref="K27:M27" si="5">K28</f>
        <v>50000</v>
      </c>
      <c r="L27" s="153">
        <f t="shared" si="5"/>
        <v>537470</v>
      </c>
      <c r="M27" s="476">
        <f t="shared" si="5"/>
        <v>587470</v>
      </c>
      <c r="N27" s="538">
        <f t="shared" si="0"/>
        <v>130.54888888888888</v>
      </c>
    </row>
    <row r="28" spans="2:17" ht="12.95" customHeight="1" x14ac:dyDescent="0.2">
      <c r="B28" s="10"/>
      <c r="C28" s="11"/>
      <c r="D28" s="22"/>
      <c r="E28" s="284"/>
      <c r="F28" s="126">
        <v>614100</v>
      </c>
      <c r="G28" s="140" t="s">
        <v>348</v>
      </c>
      <c r="H28" s="284" t="s">
        <v>519</v>
      </c>
      <c r="I28" s="154">
        <v>450000</v>
      </c>
      <c r="J28" s="154">
        <v>450000</v>
      </c>
      <c r="K28" s="254">
        <v>50000</v>
      </c>
      <c r="L28" s="154">
        <v>537470</v>
      </c>
      <c r="M28" s="504">
        <f t="shared" ref="M28" si="6">SUM(K28:L28)</f>
        <v>587470</v>
      </c>
      <c r="N28" s="539">
        <f t="shared" si="0"/>
        <v>130.54888888888888</v>
      </c>
    </row>
    <row r="29" spans="2:17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7" s="1" customFormat="1" ht="12.95" customHeight="1" x14ac:dyDescent="0.25">
      <c r="B30" s="12"/>
      <c r="C30" s="8"/>
      <c r="D30" s="8"/>
      <c r="E30" s="8"/>
      <c r="F30" s="121">
        <v>821000</v>
      </c>
      <c r="G30" s="135"/>
      <c r="H30" s="23" t="s">
        <v>427</v>
      </c>
      <c r="I30" s="153">
        <f t="shared" ref="I30:J30" si="7">SUM(I31:I34)</f>
        <v>3615000</v>
      </c>
      <c r="J30" s="153">
        <f t="shared" si="7"/>
        <v>3615000</v>
      </c>
      <c r="K30" s="319">
        <f t="shared" ref="K30:L30" si="8">SUM(K31:K34)</f>
        <v>535430</v>
      </c>
      <c r="L30" s="153">
        <f t="shared" si="8"/>
        <v>1374570</v>
      </c>
      <c r="M30" s="476">
        <f t="shared" ref="M30" si="9">SUM(M31:M34)</f>
        <v>1910000</v>
      </c>
      <c r="N30" s="538">
        <f t="shared" si="0"/>
        <v>52.835408022130018</v>
      </c>
    </row>
    <row r="31" spans="2:17" ht="12.95" customHeight="1" x14ac:dyDescent="0.2">
      <c r="B31" s="10"/>
      <c r="C31" s="11"/>
      <c r="D31" s="11"/>
      <c r="E31" s="11"/>
      <c r="F31" s="122">
        <v>821200</v>
      </c>
      <c r="G31" s="136"/>
      <c r="H31" s="22" t="s">
        <v>429</v>
      </c>
      <c r="I31" s="154">
        <v>0</v>
      </c>
      <c r="J31" s="154">
        <v>0</v>
      </c>
      <c r="K31" s="254">
        <v>0</v>
      </c>
      <c r="L31" s="154">
        <v>0</v>
      </c>
      <c r="M31" s="504">
        <f t="shared" ref="M31:M32" si="10">SUM(K31:L31)</f>
        <v>0</v>
      </c>
      <c r="N31" s="539" t="str">
        <f t="shared" si="0"/>
        <v/>
      </c>
    </row>
    <row r="32" spans="2:17" ht="12.95" customHeight="1" x14ac:dyDescent="0.2">
      <c r="B32" s="10"/>
      <c r="C32" s="11"/>
      <c r="D32" s="11"/>
      <c r="E32" s="11"/>
      <c r="F32" s="122">
        <v>821300</v>
      </c>
      <c r="G32" s="136"/>
      <c r="H32" s="22" t="s">
        <v>430</v>
      </c>
      <c r="I32" s="154">
        <v>10000</v>
      </c>
      <c r="J32" s="154">
        <v>10000</v>
      </c>
      <c r="K32" s="254">
        <v>10000</v>
      </c>
      <c r="L32" s="154">
        <v>0</v>
      </c>
      <c r="M32" s="504">
        <f t="shared" si="10"/>
        <v>10000</v>
      </c>
      <c r="N32" s="539">
        <f t="shared" si="0"/>
        <v>100</v>
      </c>
    </row>
    <row r="33" spans="2:16" ht="12.95" customHeight="1" x14ac:dyDescent="0.2">
      <c r="B33" s="10"/>
      <c r="C33" s="11"/>
      <c r="D33" s="11"/>
      <c r="E33" s="11"/>
      <c r="F33" s="122">
        <v>821500</v>
      </c>
      <c r="G33" s="136" t="s">
        <v>434</v>
      </c>
      <c r="H33" s="293" t="s">
        <v>435</v>
      </c>
      <c r="I33" s="154">
        <v>1375000</v>
      </c>
      <c r="J33" s="154">
        <v>1375000</v>
      </c>
      <c r="K33" s="254">
        <v>525430</v>
      </c>
      <c r="L33" s="154">
        <f>1400000-525430</f>
        <v>874570</v>
      </c>
      <c r="M33" s="504">
        <f t="shared" ref="M33" si="11">SUM(K33:L33)</f>
        <v>1400000</v>
      </c>
      <c r="N33" s="539">
        <f t="shared" si="0"/>
        <v>101.81818181818181</v>
      </c>
      <c r="O33" s="277"/>
      <c r="P33" s="44"/>
    </row>
    <row r="34" spans="2:16" ht="12.95" customHeight="1" x14ac:dyDescent="0.2">
      <c r="B34" s="10"/>
      <c r="C34" s="11"/>
      <c r="D34" s="11"/>
      <c r="E34" s="11"/>
      <c r="F34" s="122">
        <v>821600</v>
      </c>
      <c r="G34" s="136" t="s">
        <v>436</v>
      </c>
      <c r="H34" s="293" t="s">
        <v>437</v>
      </c>
      <c r="I34" s="154">
        <v>2230000</v>
      </c>
      <c r="J34" s="154">
        <v>2230000</v>
      </c>
      <c r="K34" s="254">
        <v>0</v>
      </c>
      <c r="L34" s="154">
        <v>500000</v>
      </c>
      <c r="M34" s="504">
        <f t="shared" ref="M34" si="12">SUM(K34:L34)</f>
        <v>500000</v>
      </c>
      <c r="N34" s="539">
        <f t="shared" si="0"/>
        <v>22.421524663677133</v>
      </c>
      <c r="P34" s="311"/>
    </row>
    <row r="35" spans="2:16" ht="12.95" customHeight="1" x14ac:dyDescent="0.25">
      <c r="B35" s="10"/>
      <c r="C35" s="11"/>
      <c r="D35" s="11"/>
      <c r="E35" s="11"/>
      <c r="F35" s="122"/>
      <c r="G35" s="136"/>
      <c r="H35" s="22"/>
      <c r="I35" s="153"/>
      <c r="J35" s="153"/>
      <c r="K35" s="319"/>
      <c r="L35" s="153"/>
      <c r="M35" s="476"/>
      <c r="N35" s="539" t="str">
        <f t="shared" si="0"/>
        <v/>
      </c>
    </row>
    <row r="36" spans="2:16" s="1" customFormat="1" ht="12.95" customHeight="1" x14ac:dyDescent="0.25">
      <c r="B36" s="12"/>
      <c r="C36" s="8"/>
      <c r="D36" s="8"/>
      <c r="E36" s="8"/>
      <c r="F36" s="121"/>
      <c r="G36" s="135"/>
      <c r="H36" s="23" t="s">
        <v>441</v>
      </c>
      <c r="I36" s="269">
        <v>13</v>
      </c>
      <c r="J36" s="269">
        <v>13</v>
      </c>
      <c r="K36" s="321">
        <v>13</v>
      </c>
      <c r="L36" s="153"/>
      <c r="M36" s="471">
        <v>13</v>
      </c>
      <c r="N36" s="539"/>
    </row>
    <row r="37" spans="2:16" s="1" customFormat="1" ht="12.95" customHeight="1" x14ac:dyDescent="0.25">
      <c r="B37" s="12"/>
      <c r="C37" s="8"/>
      <c r="D37" s="8"/>
      <c r="E37" s="8"/>
      <c r="F37" s="121"/>
      <c r="G37" s="135"/>
      <c r="H37" s="8" t="s">
        <v>453</v>
      </c>
      <c r="I37" s="259">
        <f>I8+I12+I15+I27+I30</f>
        <v>5426080</v>
      </c>
      <c r="J37" s="14">
        <f>J8+J12+J15+J27+J30</f>
        <v>5426080</v>
      </c>
      <c r="K37" s="262">
        <f>K8+K12+K15+K27+K30</f>
        <v>1254950</v>
      </c>
      <c r="L37" s="14">
        <f>L8+L12+L15+L27+L30</f>
        <v>2632040</v>
      </c>
      <c r="M37" s="476">
        <f>M8+M12+M15+M27+M30</f>
        <v>3886990</v>
      </c>
      <c r="N37" s="538">
        <f>IF(J37=0,"",M37/J37*100)</f>
        <v>71.635324211954128</v>
      </c>
    </row>
    <row r="38" spans="2:16" s="1" customFormat="1" ht="12.95" customHeight="1" x14ac:dyDescent="0.25">
      <c r="B38" s="12"/>
      <c r="C38" s="8"/>
      <c r="D38" s="8"/>
      <c r="E38" s="8"/>
      <c r="F38" s="121"/>
      <c r="G38" s="135"/>
      <c r="H38" s="8" t="s">
        <v>454</v>
      </c>
      <c r="I38" s="14">
        <f t="shared" ref="I38:I39" si="13">I37</f>
        <v>5426080</v>
      </c>
      <c r="J38" s="14">
        <f t="shared" ref="J38" si="14">J37</f>
        <v>5426080</v>
      </c>
      <c r="K38" s="262">
        <f t="shared" ref="K38:M39" si="15">K37</f>
        <v>1254950</v>
      </c>
      <c r="L38" s="14">
        <f t="shared" si="15"/>
        <v>2632040</v>
      </c>
      <c r="M38" s="476">
        <f t="shared" si="15"/>
        <v>3886990</v>
      </c>
      <c r="N38" s="538">
        <f>IF(J38=0,"",M38/J38*100)</f>
        <v>71.635324211954128</v>
      </c>
    </row>
    <row r="39" spans="2:16" s="1" customFormat="1" ht="12.95" customHeight="1" x14ac:dyDescent="0.25">
      <c r="B39" s="12"/>
      <c r="C39" s="8"/>
      <c r="D39" s="8"/>
      <c r="E39" s="8"/>
      <c r="F39" s="121"/>
      <c r="G39" s="135"/>
      <c r="H39" s="8" t="s">
        <v>455</v>
      </c>
      <c r="I39" s="14">
        <f t="shared" si="13"/>
        <v>5426080</v>
      </c>
      <c r="J39" s="14">
        <f t="shared" ref="J39" si="16">J38</f>
        <v>5426080</v>
      </c>
      <c r="K39" s="262">
        <f t="shared" si="15"/>
        <v>1254950</v>
      </c>
      <c r="L39" s="14">
        <f t="shared" si="15"/>
        <v>2632040</v>
      </c>
      <c r="M39" s="476">
        <f t="shared" si="15"/>
        <v>3886990</v>
      </c>
      <c r="N39" s="538">
        <f>IF(J39=0,"",M39/J39*100)</f>
        <v>71.635324211954128</v>
      </c>
    </row>
    <row r="40" spans="2:16" ht="12.95" customHeight="1" thickBot="1" x14ac:dyDescent="0.25">
      <c r="B40" s="15"/>
      <c r="C40" s="16"/>
      <c r="D40" s="16"/>
      <c r="E40" s="16"/>
      <c r="F40" s="123"/>
      <c r="G40" s="137"/>
      <c r="H40" s="16"/>
      <c r="I40" s="29"/>
      <c r="J40" s="29"/>
      <c r="K40" s="263"/>
      <c r="L40" s="29"/>
      <c r="M40" s="505"/>
      <c r="N40" s="540"/>
    </row>
    <row r="41" spans="2:16" ht="12.95" customHeight="1" x14ac:dyDescent="0.2">
      <c r="F41" s="124"/>
      <c r="G41" s="138"/>
      <c r="K41" s="548"/>
      <c r="M41" s="162"/>
    </row>
    <row r="42" spans="2:16" ht="12.95" customHeight="1" x14ac:dyDescent="0.2">
      <c r="F42" s="124"/>
      <c r="G42" s="138"/>
      <c r="M42" s="162"/>
    </row>
    <row r="43" spans="2:16" ht="12.95" customHeight="1" x14ac:dyDescent="0.2">
      <c r="F43" s="124"/>
      <c r="G43" s="138"/>
      <c r="M43" s="162"/>
    </row>
    <row r="44" spans="2:16" ht="12.95" customHeight="1" x14ac:dyDescent="0.2">
      <c r="F44" s="124"/>
      <c r="G44" s="138"/>
      <c r="M44" s="162"/>
    </row>
    <row r="45" spans="2:16" ht="12.95" customHeight="1" x14ac:dyDescent="0.2">
      <c r="F45" s="124"/>
      <c r="G45" s="138"/>
      <c r="M45" s="162"/>
    </row>
    <row r="46" spans="2:16" ht="12.95" customHeight="1" x14ac:dyDescent="0.2">
      <c r="F46" s="124"/>
      <c r="G46" s="138"/>
      <c r="M46" s="162"/>
    </row>
    <row r="47" spans="2:16" ht="12.95" customHeight="1" x14ac:dyDescent="0.2">
      <c r="F47" s="124"/>
      <c r="G47" s="138"/>
      <c r="M47" s="162"/>
    </row>
    <row r="48" spans="2:16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2"/>
  <dimension ref="B1:AA98"/>
  <sheetViews>
    <sheetView topLeftCell="A4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27" ht="13.5" thickBot="1" x14ac:dyDescent="0.25"/>
    <row r="2" spans="2:27" s="64" customFormat="1" ht="20.100000000000001" customHeight="1" thickTop="1" thickBot="1" x14ac:dyDescent="0.25">
      <c r="B2" s="649" t="s">
        <v>520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27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27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27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27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27" s="2" customFormat="1" ht="12.95" customHeight="1" x14ac:dyDescent="0.25">
      <c r="B7" s="6" t="s">
        <v>521</v>
      </c>
      <c r="C7" s="7" t="s">
        <v>451</v>
      </c>
      <c r="D7" s="7" t="s">
        <v>452</v>
      </c>
      <c r="E7" s="286" t="s">
        <v>648</v>
      </c>
      <c r="F7" s="5"/>
      <c r="G7" s="5"/>
      <c r="H7" s="5"/>
      <c r="I7" s="258"/>
      <c r="J7" s="5"/>
      <c r="K7" s="4"/>
      <c r="L7" s="5"/>
      <c r="M7" s="502"/>
      <c r="N7" s="537"/>
    </row>
    <row r="8" spans="2:27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1079140</v>
      </c>
      <c r="J8" s="153">
        <f>SUM(J9:J11)</f>
        <v>1079140</v>
      </c>
      <c r="K8" s="319">
        <f>SUM(K9:K11)</f>
        <v>1141130</v>
      </c>
      <c r="L8" s="153">
        <f>SUM(L9:L11)</f>
        <v>0</v>
      </c>
      <c r="M8" s="503">
        <f>SUM(M9:M11)</f>
        <v>1141130</v>
      </c>
      <c r="N8" s="538">
        <f t="shared" ref="N8:N39" si="0">IF(J8=0,"",M8/J8*100)</f>
        <v>105.74438905054025</v>
      </c>
    </row>
    <row r="9" spans="2:27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885680+1350+1500</f>
        <v>888530</v>
      </c>
      <c r="J9" s="151">
        <f>885680+1350+1500</f>
        <v>888530</v>
      </c>
      <c r="K9" s="253">
        <f>944100+23580+9980</f>
        <v>977660</v>
      </c>
      <c r="L9" s="151">
        <v>0</v>
      </c>
      <c r="M9" s="504">
        <f>SUM(K9:L9)</f>
        <v>977660</v>
      </c>
      <c r="N9" s="539">
        <f t="shared" si="0"/>
        <v>110.03117508694136</v>
      </c>
    </row>
    <row r="10" spans="2:27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175260+2450+500+31*400</f>
        <v>190610</v>
      </c>
      <c r="J10" s="151">
        <f>175260+2450+500+31*400</f>
        <v>190610</v>
      </c>
      <c r="K10" s="253">
        <f>159970+3500</f>
        <v>163470</v>
      </c>
      <c r="L10" s="151">
        <v>0</v>
      </c>
      <c r="M10" s="504">
        <f t="shared" ref="M10" si="1">SUM(K10:L10)</f>
        <v>163470</v>
      </c>
      <c r="N10" s="539">
        <f t="shared" si="0"/>
        <v>85.761502544462516</v>
      </c>
    </row>
    <row r="11" spans="2:27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27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93960</v>
      </c>
      <c r="J12" s="153">
        <f t="shared" si="2"/>
        <v>93960</v>
      </c>
      <c r="K12" s="319">
        <f>K13</f>
        <v>103010</v>
      </c>
      <c r="L12" s="153">
        <f>L13</f>
        <v>0</v>
      </c>
      <c r="M12" s="503">
        <f>M13</f>
        <v>103010</v>
      </c>
      <c r="N12" s="538">
        <f t="shared" si="0"/>
        <v>109.6317581949766</v>
      </c>
    </row>
    <row r="13" spans="2:27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93280+390+290</f>
        <v>93960</v>
      </c>
      <c r="J13" s="151">
        <f>93280+390+290</f>
        <v>93960</v>
      </c>
      <c r="K13" s="253">
        <f>99320+2600+1090</f>
        <v>103010</v>
      </c>
      <c r="L13" s="151">
        <v>0</v>
      </c>
      <c r="M13" s="504">
        <f>SUM(K13:L13)</f>
        <v>103010</v>
      </c>
      <c r="N13" s="539">
        <f t="shared" si="0"/>
        <v>109.6317581949766</v>
      </c>
      <c r="AA13" s="277" t="s">
        <v>515</v>
      </c>
    </row>
    <row r="14" spans="2:27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27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97000</v>
      </c>
      <c r="J15" s="155">
        <f>SUM(J16:J24)</f>
        <v>97000</v>
      </c>
      <c r="K15" s="319">
        <f>SUM(K16:K24)</f>
        <v>100000</v>
      </c>
      <c r="L15" s="155">
        <f>SUM(L16:L24)</f>
        <v>0</v>
      </c>
      <c r="M15" s="476">
        <f>SUM(M16:M24)</f>
        <v>100000</v>
      </c>
      <c r="N15" s="538">
        <f t="shared" si="0"/>
        <v>103.09278350515463</v>
      </c>
    </row>
    <row r="16" spans="2:27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7500</v>
      </c>
      <c r="J16" s="151">
        <v>7500</v>
      </c>
      <c r="K16" s="253">
        <v>7500</v>
      </c>
      <c r="L16" s="151">
        <v>0</v>
      </c>
      <c r="M16" s="504">
        <f t="shared" ref="M16:M24" si="3">SUM(K16:L16)</f>
        <v>7500</v>
      </c>
      <c r="N16" s="539">
        <f t="shared" si="0"/>
        <v>100</v>
      </c>
    </row>
    <row r="17" spans="2:17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2000</v>
      </c>
      <c r="J17" s="151">
        <v>2000</v>
      </c>
      <c r="K17" s="253">
        <v>2000</v>
      </c>
      <c r="L17" s="151">
        <v>0</v>
      </c>
      <c r="M17" s="504">
        <f t="shared" si="3"/>
        <v>2000</v>
      </c>
      <c r="N17" s="539">
        <f t="shared" si="0"/>
        <v>100</v>
      </c>
    </row>
    <row r="18" spans="2:17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8000</v>
      </c>
      <c r="J18" s="151">
        <v>8000</v>
      </c>
      <c r="K18" s="253">
        <v>8000</v>
      </c>
      <c r="L18" s="151">
        <v>0</v>
      </c>
      <c r="M18" s="504">
        <f t="shared" si="3"/>
        <v>8000</v>
      </c>
      <c r="N18" s="539">
        <f t="shared" si="0"/>
        <v>100</v>
      </c>
    </row>
    <row r="19" spans="2:17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4000</v>
      </c>
      <c r="J19" s="151">
        <v>4000</v>
      </c>
      <c r="K19" s="253">
        <v>5000</v>
      </c>
      <c r="L19" s="151">
        <v>0</v>
      </c>
      <c r="M19" s="504">
        <f t="shared" si="3"/>
        <v>5000</v>
      </c>
      <c r="N19" s="539">
        <f t="shared" si="0"/>
        <v>125</v>
      </c>
    </row>
    <row r="20" spans="2:17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1000</v>
      </c>
      <c r="J20" s="151">
        <v>1000</v>
      </c>
      <c r="K20" s="253">
        <v>1000</v>
      </c>
      <c r="L20" s="151">
        <v>0</v>
      </c>
      <c r="M20" s="504">
        <f t="shared" si="3"/>
        <v>1000</v>
      </c>
      <c r="N20" s="539">
        <f t="shared" si="0"/>
        <v>100</v>
      </c>
    </row>
    <row r="21" spans="2:17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1500</v>
      </c>
      <c r="J21" s="151">
        <v>1500</v>
      </c>
      <c r="K21" s="253">
        <v>1500</v>
      </c>
      <c r="L21" s="151">
        <v>0</v>
      </c>
      <c r="M21" s="504">
        <f t="shared" si="3"/>
        <v>1500</v>
      </c>
      <c r="N21" s="539">
        <f t="shared" si="0"/>
        <v>100</v>
      </c>
    </row>
    <row r="22" spans="2:17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5000</v>
      </c>
      <c r="J22" s="151">
        <v>5000</v>
      </c>
      <c r="K22" s="253">
        <v>5000</v>
      </c>
      <c r="L22" s="151">
        <v>0</v>
      </c>
      <c r="M22" s="504">
        <f t="shared" si="3"/>
        <v>5000</v>
      </c>
      <c r="N22" s="539">
        <f t="shared" si="0"/>
        <v>100</v>
      </c>
    </row>
    <row r="23" spans="2:17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7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68000</v>
      </c>
      <c r="J24" s="151">
        <v>68000</v>
      </c>
      <c r="K24" s="253">
        <v>70000</v>
      </c>
      <c r="L24" s="151">
        <v>0</v>
      </c>
      <c r="M24" s="504">
        <f t="shared" si="3"/>
        <v>70000</v>
      </c>
      <c r="N24" s="539">
        <f t="shared" si="0"/>
        <v>102.94117647058823</v>
      </c>
      <c r="O24" s="277"/>
    </row>
    <row r="25" spans="2:17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7" s="1" customFormat="1" ht="12.95" customHeight="1" x14ac:dyDescent="0.25">
      <c r="B26" s="12"/>
      <c r="C26" s="8"/>
      <c r="D26" s="8"/>
      <c r="E26" s="8"/>
      <c r="F26" s="121">
        <v>614000</v>
      </c>
      <c r="G26" s="135"/>
      <c r="H26" s="23" t="s">
        <v>339</v>
      </c>
      <c r="I26" s="153">
        <f t="shared" ref="I26:J26" si="4">SUM(I27:I30)</f>
        <v>2280000</v>
      </c>
      <c r="J26" s="153">
        <f t="shared" si="4"/>
        <v>2280000</v>
      </c>
      <c r="K26" s="319">
        <f t="shared" ref="K26:L26" si="5">SUM(K27:K30)</f>
        <v>1850000</v>
      </c>
      <c r="L26" s="153">
        <f t="shared" si="5"/>
        <v>600000</v>
      </c>
      <c r="M26" s="476">
        <f t="shared" ref="M26" si="6">SUM(M27:M30)</f>
        <v>2450000</v>
      </c>
      <c r="N26" s="538">
        <f t="shared" si="0"/>
        <v>107.45614035087718</v>
      </c>
    </row>
    <row r="27" spans="2:17" s="1" customFormat="1" ht="12.95" customHeight="1" x14ac:dyDescent="0.2">
      <c r="B27" s="12"/>
      <c r="C27" s="8"/>
      <c r="D27" s="23"/>
      <c r="E27" s="23"/>
      <c r="F27" s="122">
        <v>614100</v>
      </c>
      <c r="G27" s="136" t="s">
        <v>350</v>
      </c>
      <c r="H27" s="294" t="s">
        <v>522</v>
      </c>
      <c r="I27" s="154">
        <v>200000</v>
      </c>
      <c r="J27" s="154">
        <v>200000</v>
      </c>
      <c r="K27" s="254">
        <v>0</v>
      </c>
      <c r="L27" s="154">
        <v>200000</v>
      </c>
      <c r="M27" s="504">
        <f t="shared" ref="M27:M30" si="7">SUM(K27:L27)</f>
        <v>200000</v>
      </c>
      <c r="N27" s="539">
        <f t="shared" si="0"/>
        <v>100</v>
      </c>
    </row>
    <row r="28" spans="2:17" ht="12.95" customHeight="1" x14ac:dyDescent="0.2">
      <c r="B28" s="10"/>
      <c r="C28" s="11"/>
      <c r="D28" s="11"/>
      <c r="E28" s="11"/>
      <c r="F28" s="122">
        <v>614500</v>
      </c>
      <c r="G28" s="136" t="s">
        <v>399</v>
      </c>
      <c r="H28" s="301" t="s">
        <v>523</v>
      </c>
      <c r="I28" s="154">
        <v>1850000</v>
      </c>
      <c r="J28" s="154">
        <v>1850000</v>
      </c>
      <c r="K28" s="254">
        <v>1800000</v>
      </c>
      <c r="L28" s="154">
        <v>0</v>
      </c>
      <c r="M28" s="504">
        <f t="shared" si="7"/>
        <v>1800000</v>
      </c>
      <c r="N28" s="539">
        <f t="shared" si="0"/>
        <v>97.297297297297305</v>
      </c>
    </row>
    <row r="29" spans="2:17" ht="12.95" customHeight="1" x14ac:dyDescent="0.2">
      <c r="B29" s="10"/>
      <c r="C29" s="11"/>
      <c r="D29" s="11"/>
      <c r="E29" s="11"/>
      <c r="F29" s="122">
        <v>614500</v>
      </c>
      <c r="G29" s="136" t="s">
        <v>401</v>
      </c>
      <c r="H29" s="301" t="s">
        <v>524</v>
      </c>
      <c r="I29" s="154">
        <v>100000</v>
      </c>
      <c r="J29" s="154">
        <v>100000</v>
      </c>
      <c r="K29" s="254">
        <v>0</v>
      </c>
      <c r="L29" s="154">
        <v>200000</v>
      </c>
      <c r="M29" s="504">
        <f t="shared" si="7"/>
        <v>200000</v>
      </c>
      <c r="N29" s="539">
        <f t="shared" si="0"/>
        <v>200</v>
      </c>
      <c r="P29" s="44"/>
      <c r="Q29" s="277"/>
    </row>
    <row r="30" spans="2:17" ht="12.95" customHeight="1" x14ac:dyDescent="0.2">
      <c r="B30" s="10"/>
      <c r="C30" s="11"/>
      <c r="D30" s="11"/>
      <c r="E30" s="11"/>
      <c r="F30" s="122">
        <v>614500</v>
      </c>
      <c r="G30" s="136" t="s">
        <v>403</v>
      </c>
      <c r="H30" s="301" t="s">
        <v>525</v>
      </c>
      <c r="I30" s="154">
        <v>130000</v>
      </c>
      <c r="J30" s="154">
        <v>130000</v>
      </c>
      <c r="K30" s="254">
        <v>50000</v>
      </c>
      <c r="L30" s="154">
        <v>200000</v>
      </c>
      <c r="M30" s="504">
        <f t="shared" si="7"/>
        <v>250000</v>
      </c>
      <c r="N30" s="539">
        <f t="shared" si="0"/>
        <v>192.30769230769232</v>
      </c>
      <c r="P30" s="44"/>
    </row>
    <row r="31" spans="2:17" ht="12.95" customHeight="1" x14ac:dyDescent="0.25">
      <c r="B31" s="10"/>
      <c r="C31" s="11"/>
      <c r="D31" s="11"/>
      <c r="E31" s="11"/>
      <c r="F31" s="122"/>
      <c r="G31" s="136"/>
      <c r="H31" s="22"/>
      <c r="I31" s="153"/>
      <c r="J31" s="153"/>
      <c r="K31" s="319"/>
      <c r="L31" s="153"/>
      <c r="M31" s="476"/>
      <c r="N31" s="539" t="str">
        <f t="shared" si="0"/>
        <v/>
      </c>
      <c r="P31" s="44"/>
    </row>
    <row r="32" spans="2:17" s="1" customFormat="1" ht="12.95" customHeight="1" x14ac:dyDescent="0.25">
      <c r="B32" s="12"/>
      <c r="C32" s="8"/>
      <c r="D32" s="8"/>
      <c r="E32" s="8"/>
      <c r="F32" s="121">
        <v>615000</v>
      </c>
      <c r="G32" s="135"/>
      <c r="H32" s="23" t="s">
        <v>410</v>
      </c>
      <c r="I32" s="153">
        <f t="shared" ref="I32:J32" si="8">SUM(I33:I34)</f>
        <v>450000</v>
      </c>
      <c r="J32" s="153">
        <f t="shared" si="8"/>
        <v>450000</v>
      </c>
      <c r="K32" s="319">
        <f t="shared" ref="K32:L32" si="9">SUM(K33:K34)</f>
        <v>84380</v>
      </c>
      <c r="L32" s="153">
        <f t="shared" si="9"/>
        <v>365620</v>
      </c>
      <c r="M32" s="476">
        <f t="shared" ref="M32" si="10">SUM(M33:M34)</f>
        <v>450000</v>
      </c>
      <c r="N32" s="538">
        <f t="shared" si="0"/>
        <v>100</v>
      </c>
    </row>
    <row r="33" spans="2:14" s="1" customFormat="1" ht="12.95" customHeight="1" x14ac:dyDescent="0.2">
      <c r="B33" s="12"/>
      <c r="C33" s="8"/>
      <c r="D33" s="23"/>
      <c r="E33" s="23"/>
      <c r="F33" s="122">
        <v>615100</v>
      </c>
      <c r="G33" s="136" t="s">
        <v>414</v>
      </c>
      <c r="H33" s="294" t="s">
        <v>415</v>
      </c>
      <c r="I33" s="154">
        <v>300000</v>
      </c>
      <c r="J33" s="154">
        <v>300000</v>
      </c>
      <c r="K33" s="254">
        <v>34380</v>
      </c>
      <c r="L33" s="154">
        <f>300000-34380</f>
        <v>265620</v>
      </c>
      <c r="M33" s="504">
        <f t="shared" ref="M33" si="11">SUM(K33:L33)</f>
        <v>300000</v>
      </c>
      <c r="N33" s="539">
        <f t="shared" si="0"/>
        <v>100</v>
      </c>
    </row>
    <row r="34" spans="2:14" s="1" customFormat="1" ht="12.95" customHeight="1" x14ac:dyDescent="0.2">
      <c r="B34" s="12"/>
      <c r="C34" s="8"/>
      <c r="D34" s="23"/>
      <c r="E34" s="23"/>
      <c r="F34" s="122">
        <v>615100</v>
      </c>
      <c r="G34" s="136" t="s">
        <v>416</v>
      </c>
      <c r="H34" s="294" t="s">
        <v>417</v>
      </c>
      <c r="I34" s="154">
        <v>150000</v>
      </c>
      <c r="J34" s="154">
        <v>150000</v>
      </c>
      <c r="K34" s="254">
        <v>50000</v>
      </c>
      <c r="L34" s="154">
        <v>100000</v>
      </c>
      <c r="M34" s="504">
        <f t="shared" ref="M34" si="12">SUM(K34:L34)</f>
        <v>150000</v>
      </c>
      <c r="N34" s="539">
        <f t="shared" si="0"/>
        <v>100</v>
      </c>
    </row>
    <row r="35" spans="2:14" ht="12.95" customHeight="1" x14ac:dyDescent="0.2">
      <c r="B35" s="10"/>
      <c r="C35" s="11"/>
      <c r="D35" s="11"/>
      <c r="E35" s="11"/>
      <c r="F35" s="122"/>
      <c r="G35" s="136"/>
      <c r="H35" s="22"/>
      <c r="I35" s="151"/>
      <c r="J35" s="151"/>
      <c r="K35" s="253"/>
      <c r="L35" s="151"/>
      <c r="M35" s="478"/>
      <c r="N35" s="539" t="str">
        <f t="shared" si="0"/>
        <v/>
      </c>
    </row>
    <row r="36" spans="2:14" s="1" customFormat="1" ht="12.95" customHeight="1" x14ac:dyDescent="0.25">
      <c r="B36" s="12"/>
      <c r="C36" s="8"/>
      <c r="D36" s="8"/>
      <c r="E36" s="8"/>
      <c r="F36" s="121">
        <v>821000</v>
      </c>
      <c r="G36" s="135"/>
      <c r="H36" s="23" t="s">
        <v>427</v>
      </c>
      <c r="I36" s="153">
        <f t="shared" ref="I36:J36" si="13">SUM(I37:I39)</f>
        <v>60000</v>
      </c>
      <c r="J36" s="153">
        <f t="shared" si="13"/>
        <v>60000</v>
      </c>
      <c r="K36" s="319">
        <f>SUM(K37:K39)</f>
        <v>30000</v>
      </c>
      <c r="L36" s="153">
        <f>SUM(L37:L39)</f>
        <v>50000</v>
      </c>
      <c r="M36" s="476">
        <f>SUM(M37:M39)</f>
        <v>80000</v>
      </c>
      <c r="N36" s="538">
        <f t="shared" si="0"/>
        <v>133.33333333333331</v>
      </c>
    </row>
    <row r="37" spans="2:14" ht="12.95" customHeight="1" x14ac:dyDescent="0.2">
      <c r="B37" s="10"/>
      <c r="C37" s="11"/>
      <c r="D37" s="11"/>
      <c r="E37" s="11"/>
      <c r="F37" s="122">
        <v>821200</v>
      </c>
      <c r="G37" s="136"/>
      <c r="H37" s="22" t="s">
        <v>429</v>
      </c>
      <c r="I37" s="151">
        <v>0</v>
      </c>
      <c r="J37" s="151">
        <v>0</v>
      </c>
      <c r="K37" s="253">
        <v>0</v>
      </c>
      <c r="L37" s="151">
        <v>0</v>
      </c>
      <c r="M37" s="504">
        <f t="shared" ref="M37:M38" si="14">SUM(K37:L37)</f>
        <v>0</v>
      </c>
      <c r="N37" s="539" t="str">
        <f t="shared" si="0"/>
        <v/>
      </c>
    </row>
    <row r="38" spans="2:14" ht="12.95" customHeight="1" x14ac:dyDescent="0.2">
      <c r="B38" s="10"/>
      <c r="C38" s="11"/>
      <c r="D38" s="11"/>
      <c r="E38" s="11"/>
      <c r="F38" s="122">
        <v>821300</v>
      </c>
      <c r="G38" s="136"/>
      <c r="H38" s="22" t="s">
        <v>430</v>
      </c>
      <c r="I38" s="151">
        <v>60000</v>
      </c>
      <c r="J38" s="151">
        <v>60000</v>
      </c>
      <c r="K38" s="253">
        <v>30000</v>
      </c>
      <c r="L38" s="151">
        <v>50000</v>
      </c>
      <c r="M38" s="504">
        <f t="shared" si="14"/>
        <v>80000</v>
      </c>
      <c r="N38" s="539">
        <f t="shared" si="0"/>
        <v>133.33333333333331</v>
      </c>
    </row>
    <row r="39" spans="2:14" ht="12.95" customHeight="1" x14ac:dyDescent="0.2">
      <c r="B39" s="10"/>
      <c r="C39" s="11"/>
      <c r="D39" s="11"/>
      <c r="E39" s="11"/>
      <c r="F39" s="122"/>
      <c r="G39" s="136"/>
      <c r="H39" s="22"/>
      <c r="I39" s="151"/>
      <c r="J39" s="151"/>
      <c r="K39" s="253"/>
      <c r="L39" s="151"/>
      <c r="M39" s="478"/>
      <c r="N39" s="539" t="str">
        <f t="shared" si="0"/>
        <v/>
      </c>
    </row>
    <row r="40" spans="2:14" s="1" customFormat="1" ht="12.95" customHeight="1" x14ac:dyDescent="0.25">
      <c r="B40" s="12"/>
      <c r="C40" s="8"/>
      <c r="D40" s="8"/>
      <c r="E40" s="8"/>
      <c r="F40" s="121"/>
      <c r="G40" s="135"/>
      <c r="H40" s="23" t="s">
        <v>441</v>
      </c>
      <c r="I40" s="269" t="s">
        <v>836</v>
      </c>
      <c r="J40" s="269" t="s">
        <v>836</v>
      </c>
      <c r="K40" s="321" t="s">
        <v>895</v>
      </c>
      <c r="L40" s="269"/>
      <c r="M40" s="471" t="s">
        <v>895</v>
      </c>
      <c r="N40" s="539"/>
    </row>
    <row r="41" spans="2:14" s="1" customFormat="1" ht="12.95" customHeight="1" x14ac:dyDescent="0.25">
      <c r="B41" s="12"/>
      <c r="C41" s="8"/>
      <c r="D41" s="8"/>
      <c r="E41" s="8"/>
      <c r="F41" s="121"/>
      <c r="G41" s="135"/>
      <c r="H41" s="8" t="s">
        <v>453</v>
      </c>
      <c r="I41" s="259">
        <f>I8+I12+I15+I26+I32+I36</f>
        <v>4060100</v>
      </c>
      <c r="J41" s="14">
        <f>J8+J12+J15+J26+J32+J36</f>
        <v>4060100</v>
      </c>
      <c r="K41" s="262">
        <f>K8+K12+K15+K26+K32+K36</f>
        <v>3308520</v>
      </c>
      <c r="L41" s="14">
        <f>L8+L12+L15+L26+L32+L36</f>
        <v>1015620</v>
      </c>
      <c r="M41" s="476">
        <f>M8+M12+M15+M26+M32+M36</f>
        <v>4324140</v>
      </c>
      <c r="N41" s="538">
        <f>IF(J41=0,"",M41/J41*100)</f>
        <v>106.50328809635229</v>
      </c>
    </row>
    <row r="42" spans="2:14" s="1" customFormat="1" ht="12.95" customHeight="1" x14ac:dyDescent="0.25">
      <c r="B42" s="12"/>
      <c r="C42" s="8"/>
      <c r="D42" s="8"/>
      <c r="E42" s="8"/>
      <c r="F42" s="121"/>
      <c r="G42" s="135"/>
      <c r="H42" s="8" t="s">
        <v>454</v>
      </c>
      <c r="I42" s="14">
        <f t="shared" ref="I42:I43" si="15">I41</f>
        <v>4060100</v>
      </c>
      <c r="J42" s="14">
        <f t="shared" ref="J42" si="16">J41</f>
        <v>4060100</v>
      </c>
      <c r="K42" s="262">
        <f t="shared" ref="K42:M43" si="17">K41</f>
        <v>3308520</v>
      </c>
      <c r="L42" s="14">
        <f t="shared" si="17"/>
        <v>1015620</v>
      </c>
      <c r="M42" s="476">
        <f t="shared" si="17"/>
        <v>4324140</v>
      </c>
      <c r="N42" s="538">
        <f>IF(J42=0,"",M42/J42*100)</f>
        <v>106.50328809635229</v>
      </c>
    </row>
    <row r="43" spans="2:14" s="1" customFormat="1" ht="12.95" customHeight="1" x14ac:dyDescent="0.25">
      <c r="B43" s="12"/>
      <c r="C43" s="8"/>
      <c r="D43" s="8"/>
      <c r="E43" s="8"/>
      <c r="F43" s="121"/>
      <c r="G43" s="135"/>
      <c r="H43" s="8" t="s">
        <v>455</v>
      </c>
      <c r="I43" s="14">
        <f t="shared" si="15"/>
        <v>4060100</v>
      </c>
      <c r="J43" s="14">
        <f t="shared" ref="J43" si="18">J42</f>
        <v>4060100</v>
      </c>
      <c r="K43" s="262">
        <f t="shared" si="17"/>
        <v>3308520</v>
      </c>
      <c r="L43" s="14">
        <f t="shared" si="17"/>
        <v>1015620</v>
      </c>
      <c r="M43" s="476">
        <f t="shared" si="17"/>
        <v>4324140</v>
      </c>
      <c r="N43" s="538">
        <f>IF(J43=0,"",M43/J43*100)</f>
        <v>106.50328809635229</v>
      </c>
    </row>
    <row r="44" spans="2:14" ht="12.95" customHeight="1" thickBot="1" x14ac:dyDescent="0.25">
      <c r="B44" s="15"/>
      <c r="C44" s="16"/>
      <c r="D44" s="16"/>
      <c r="E44" s="16"/>
      <c r="F44" s="123"/>
      <c r="G44" s="137"/>
      <c r="H44" s="16"/>
      <c r="I44" s="29"/>
      <c r="J44" s="29"/>
      <c r="K44" s="263"/>
      <c r="L44" s="29"/>
      <c r="M44" s="505"/>
      <c r="N44" s="540"/>
    </row>
    <row r="45" spans="2:14" ht="12.95" customHeight="1" x14ac:dyDescent="0.2">
      <c r="F45" s="124"/>
      <c r="G45" s="138"/>
      <c r="K45" s="543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2.95" customHeight="1" x14ac:dyDescent="0.2">
      <c r="F58" s="124"/>
      <c r="G58" s="138"/>
      <c r="M58" s="161"/>
    </row>
    <row r="59" spans="6:13" ht="12.95" customHeight="1" x14ac:dyDescent="0.2">
      <c r="F59" s="124"/>
      <c r="G59" s="138"/>
      <c r="M59" s="161"/>
    </row>
    <row r="60" spans="6:13" ht="12.95" customHeight="1" x14ac:dyDescent="0.2">
      <c r="F60" s="124"/>
      <c r="G60" s="138"/>
      <c r="M60" s="161"/>
    </row>
    <row r="61" spans="6:13" ht="12.95" customHeight="1" x14ac:dyDescent="0.2">
      <c r="F61" s="124"/>
      <c r="G61" s="138"/>
      <c r="M61" s="161"/>
    </row>
    <row r="62" spans="6:13" ht="17.100000000000001" customHeight="1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38"/>
      <c r="M72" s="161"/>
    </row>
    <row r="73" spans="6:13" ht="14.25" x14ac:dyDescent="0.2">
      <c r="F73" s="124"/>
      <c r="G73" s="138"/>
      <c r="M73" s="161"/>
    </row>
    <row r="74" spans="6:13" ht="14.25" x14ac:dyDescent="0.2">
      <c r="F74" s="124"/>
      <c r="G74" s="138"/>
      <c r="M74" s="161"/>
    </row>
    <row r="75" spans="6:13" ht="14.25" x14ac:dyDescent="0.2">
      <c r="F75" s="124"/>
      <c r="G75" s="138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ht="14.25" x14ac:dyDescent="0.2">
      <c r="F89" s="124"/>
      <c r="G89" s="124"/>
      <c r="M89" s="161"/>
    </row>
    <row r="90" spans="6:13" ht="14.25" x14ac:dyDescent="0.2">
      <c r="F90" s="124"/>
      <c r="G90" s="124"/>
      <c r="M90" s="161"/>
    </row>
    <row r="91" spans="6:13" ht="14.25" x14ac:dyDescent="0.2">
      <c r="F91" s="124"/>
      <c r="G91" s="124"/>
      <c r="M91" s="161"/>
    </row>
    <row r="92" spans="6:13" ht="14.25" x14ac:dyDescent="0.2">
      <c r="F92" s="124"/>
      <c r="G92" s="124"/>
      <c r="M92" s="161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  <row r="96" spans="6:13" x14ac:dyDescent="0.2">
      <c r="G96" s="124"/>
    </row>
    <row r="97" spans="7:7" x14ac:dyDescent="0.2">
      <c r="G97" s="124"/>
    </row>
    <row r="98" spans="7:7" x14ac:dyDescent="0.2">
      <c r="G98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3"/>
  <dimension ref="B1:P90"/>
  <sheetViews>
    <sheetView topLeftCell="G11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526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45" customFormat="1" ht="11.1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451</v>
      </c>
      <c r="D7" s="7" t="s">
        <v>452</v>
      </c>
      <c r="E7" s="286" t="s">
        <v>733</v>
      </c>
      <c r="F7" s="5"/>
      <c r="G7" s="5"/>
      <c r="H7" s="5"/>
      <c r="I7" s="258"/>
      <c r="J7" s="5"/>
      <c r="K7" s="4"/>
      <c r="L7" s="5"/>
      <c r="M7" s="502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266">
        <f>SUM(I9:I11)</f>
        <v>588050</v>
      </c>
      <c r="J8" s="266">
        <f>SUM(J9:J11)</f>
        <v>588050</v>
      </c>
      <c r="K8" s="322">
        <f>SUM(K9:K11)</f>
        <v>583470</v>
      </c>
      <c r="L8" s="266">
        <f>SUM(L9:L11)</f>
        <v>0</v>
      </c>
      <c r="M8" s="503">
        <f>SUM(M9:M11)</f>
        <v>583470</v>
      </c>
      <c r="N8" s="538">
        <f t="shared" ref="N8:N47" si="0">IF(J8=0,"",M8/J8*100)</f>
        <v>99.221154663719062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2">
        <f>494130-3*2600+500</f>
        <v>486830</v>
      </c>
      <c r="J9" s="152">
        <f>494130-3*2600+500</f>
        <v>486830</v>
      </c>
      <c r="K9" s="255">
        <f>475600+5400+11890</f>
        <v>492890</v>
      </c>
      <c r="L9" s="152">
        <v>0</v>
      </c>
      <c r="M9" s="504">
        <f>SUM(K9:L9)</f>
        <v>492890</v>
      </c>
      <c r="N9" s="539">
        <f t="shared" si="0"/>
        <v>101.24478770823491</v>
      </c>
    </row>
    <row r="10" spans="2:16" ht="12.95" customHeight="1" x14ac:dyDescent="0.2">
      <c r="B10" s="10"/>
      <c r="C10" s="11"/>
      <c r="D10" s="11"/>
      <c r="E10" s="577"/>
      <c r="F10" s="122">
        <v>611200</v>
      </c>
      <c r="G10" s="136"/>
      <c r="H10" s="22" t="s">
        <v>302</v>
      </c>
      <c r="I10" s="152">
        <f>96520-3*300+14*400</f>
        <v>101220</v>
      </c>
      <c r="J10" s="152">
        <f>96520-3*300+14*400</f>
        <v>101220</v>
      </c>
      <c r="K10" s="255">
        <f>75660+14920</f>
        <v>90580</v>
      </c>
      <c r="L10" s="152">
        <v>0</v>
      </c>
      <c r="M10" s="504">
        <f t="shared" ref="M10" si="1">SUM(K10:L10)</f>
        <v>90580</v>
      </c>
      <c r="N10" s="539">
        <f t="shared" si="0"/>
        <v>89.488243430152153</v>
      </c>
      <c r="P10" s="44"/>
    </row>
    <row r="11" spans="2:16" ht="8.1" customHeight="1" x14ac:dyDescent="0.2">
      <c r="B11" s="10"/>
      <c r="C11" s="11"/>
      <c r="D11" s="11"/>
      <c r="E11" s="577"/>
      <c r="F11" s="122"/>
      <c r="G11" s="136"/>
      <c r="H11" s="22"/>
      <c r="I11" s="152"/>
      <c r="J11" s="152"/>
      <c r="K11" s="255"/>
      <c r="L11" s="152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5"/>
      <c r="F12" s="121">
        <v>612000</v>
      </c>
      <c r="G12" s="135"/>
      <c r="H12" s="23" t="s">
        <v>305</v>
      </c>
      <c r="I12" s="266">
        <f t="shared" ref="I12:J12" si="2">I13</f>
        <v>50900</v>
      </c>
      <c r="J12" s="266">
        <f t="shared" si="2"/>
        <v>50900</v>
      </c>
      <c r="K12" s="322">
        <f t="shared" ref="K12" si="3">K13</f>
        <v>51460</v>
      </c>
      <c r="L12" s="266">
        <f>L13</f>
        <v>0</v>
      </c>
      <c r="M12" s="503">
        <f>M13</f>
        <v>51460</v>
      </c>
      <c r="N12" s="538">
        <f t="shared" si="0"/>
        <v>101.10019646365423</v>
      </c>
    </row>
    <row r="13" spans="2:16" ht="12.95" customHeight="1" x14ac:dyDescent="0.2">
      <c r="B13" s="10"/>
      <c r="C13" s="11"/>
      <c r="D13" s="11"/>
      <c r="E13" s="577"/>
      <c r="F13" s="122">
        <v>612100</v>
      </c>
      <c r="G13" s="136"/>
      <c r="H13" s="294" t="s">
        <v>306</v>
      </c>
      <c r="I13" s="152">
        <f>51640-3*280+100</f>
        <v>50900</v>
      </c>
      <c r="J13" s="152">
        <f>51640-3*280+100</f>
        <v>50900</v>
      </c>
      <c r="K13" s="255">
        <f>50150+1310</f>
        <v>51460</v>
      </c>
      <c r="L13" s="152">
        <v>0</v>
      </c>
      <c r="M13" s="504">
        <f>SUM(K13:L13)</f>
        <v>51460</v>
      </c>
      <c r="N13" s="539">
        <f t="shared" si="0"/>
        <v>101.10019646365423</v>
      </c>
    </row>
    <row r="14" spans="2:16" ht="8.1" customHeight="1" x14ac:dyDescent="0.2">
      <c r="B14" s="10"/>
      <c r="C14" s="11"/>
      <c r="D14" s="11"/>
      <c r="E14" s="577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5"/>
      <c r="F15" s="121">
        <v>613000</v>
      </c>
      <c r="G15" s="135"/>
      <c r="H15" s="23" t="s">
        <v>309</v>
      </c>
      <c r="I15" s="153">
        <f>SUM(I16:I28)</f>
        <v>1223800</v>
      </c>
      <c r="J15" s="153">
        <f>SUM(J16:J28)</f>
        <v>1223800</v>
      </c>
      <c r="K15" s="319">
        <f>SUM(K16:K28)</f>
        <v>1143440</v>
      </c>
      <c r="L15" s="153">
        <f>SUM(L16:L28)</f>
        <v>0</v>
      </c>
      <c r="M15" s="476">
        <f>SUM(M16:M28)</f>
        <v>1143440</v>
      </c>
      <c r="N15" s="538">
        <f t="shared" si="0"/>
        <v>93.433567576401373</v>
      </c>
    </row>
    <row r="16" spans="2:16" ht="12.95" customHeight="1" x14ac:dyDescent="0.2">
      <c r="B16" s="10"/>
      <c r="C16" s="11"/>
      <c r="D16" s="11"/>
      <c r="E16" s="577"/>
      <c r="F16" s="122">
        <v>613100</v>
      </c>
      <c r="G16" s="136"/>
      <c r="H16" s="22" t="s">
        <v>310</v>
      </c>
      <c r="I16" s="154">
        <v>11000</v>
      </c>
      <c r="J16" s="154">
        <v>11000</v>
      </c>
      <c r="K16" s="254">
        <v>11000</v>
      </c>
      <c r="L16" s="154">
        <v>0</v>
      </c>
      <c r="M16" s="504">
        <f t="shared" ref="M16:M27" si="4">SUM(K16:L16)</f>
        <v>11000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577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4"/>
        <v>0</v>
      </c>
      <c r="N17" s="539" t="str">
        <f t="shared" si="0"/>
        <v/>
      </c>
    </row>
    <row r="18" spans="2:15" ht="12.95" customHeight="1" x14ac:dyDescent="0.2">
      <c r="B18" s="10"/>
      <c r="C18" s="11"/>
      <c r="D18" s="11"/>
      <c r="E18" s="577"/>
      <c r="F18" s="122">
        <v>613300</v>
      </c>
      <c r="G18" s="136"/>
      <c r="H18" s="22" t="s">
        <v>312</v>
      </c>
      <c r="I18" s="154">
        <v>3200</v>
      </c>
      <c r="J18" s="154">
        <v>3200</v>
      </c>
      <c r="K18" s="254">
        <v>3500</v>
      </c>
      <c r="L18" s="154">
        <v>0</v>
      </c>
      <c r="M18" s="504">
        <f t="shared" si="4"/>
        <v>3500</v>
      </c>
      <c r="N18" s="539">
        <f t="shared" si="0"/>
        <v>109.375</v>
      </c>
    </row>
    <row r="19" spans="2:15" ht="12.75" customHeight="1" x14ac:dyDescent="0.2">
      <c r="B19" s="10"/>
      <c r="C19" s="11"/>
      <c r="D19" s="11"/>
      <c r="E19" s="577"/>
      <c r="F19" s="122">
        <v>613400</v>
      </c>
      <c r="G19" s="136"/>
      <c r="H19" s="22" t="s">
        <v>313</v>
      </c>
      <c r="I19" s="154">
        <v>342720</v>
      </c>
      <c r="J19" s="154">
        <v>342720</v>
      </c>
      <c r="K19" s="254">
        <v>94000</v>
      </c>
      <c r="L19" s="154">
        <v>0</v>
      </c>
      <c r="M19" s="504">
        <f t="shared" si="4"/>
        <v>94000</v>
      </c>
      <c r="N19" s="539">
        <f t="shared" si="0"/>
        <v>27.427637721755371</v>
      </c>
    </row>
    <row r="20" spans="2:15" ht="27" customHeight="1" x14ac:dyDescent="0.2">
      <c r="B20" s="10"/>
      <c r="C20" s="11"/>
      <c r="D20" s="11"/>
      <c r="E20" s="578" t="s">
        <v>719</v>
      </c>
      <c r="F20" s="125">
        <v>613400</v>
      </c>
      <c r="G20" s="139" t="s">
        <v>315</v>
      </c>
      <c r="H20" s="302" t="s">
        <v>896</v>
      </c>
      <c r="I20" s="275">
        <v>724490</v>
      </c>
      <c r="J20" s="275">
        <v>724490</v>
      </c>
      <c r="K20" s="324">
        <f>953520-70000</f>
        <v>883520</v>
      </c>
      <c r="L20" s="275">
        <v>0</v>
      </c>
      <c r="M20" s="518">
        <f t="shared" ref="M20" si="5">SUM(K20:L20)</f>
        <v>883520</v>
      </c>
      <c r="N20" s="539">
        <f t="shared" si="0"/>
        <v>121.95061353503844</v>
      </c>
    </row>
    <row r="21" spans="2:15" ht="12.95" customHeight="1" x14ac:dyDescent="0.2">
      <c r="B21" s="10"/>
      <c r="C21" s="11"/>
      <c r="D21" s="11"/>
      <c r="E21" s="577"/>
      <c r="F21" s="122">
        <v>613500</v>
      </c>
      <c r="G21" s="136"/>
      <c r="H21" s="22" t="s">
        <v>316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4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577"/>
      <c r="F22" s="122">
        <v>613600</v>
      </c>
      <c r="G22" s="136"/>
      <c r="H22" s="22" t="s">
        <v>317</v>
      </c>
      <c r="I22" s="154">
        <v>0</v>
      </c>
      <c r="J22" s="154">
        <v>0</v>
      </c>
      <c r="K22" s="254">
        <v>0</v>
      </c>
      <c r="L22" s="154">
        <v>0</v>
      </c>
      <c r="M22" s="504">
        <f t="shared" si="4"/>
        <v>0</v>
      </c>
      <c r="N22" s="539" t="str">
        <f t="shared" si="0"/>
        <v/>
      </c>
    </row>
    <row r="23" spans="2:15" ht="12.95" customHeight="1" x14ac:dyDescent="0.2">
      <c r="B23" s="10"/>
      <c r="C23" s="11"/>
      <c r="D23" s="11"/>
      <c r="E23" s="577"/>
      <c r="F23" s="122">
        <v>613700</v>
      </c>
      <c r="G23" s="136"/>
      <c r="H23" s="22" t="s">
        <v>318</v>
      </c>
      <c r="I23" s="154">
        <v>7000</v>
      </c>
      <c r="J23" s="154">
        <v>7000</v>
      </c>
      <c r="K23" s="254">
        <v>6000</v>
      </c>
      <c r="L23" s="154">
        <v>0</v>
      </c>
      <c r="M23" s="504">
        <f t="shared" si="4"/>
        <v>6000</v>
      </c>
      <c r="N23" s="539">
        <f t="shared" si="0"/>
        <v>85.714285714285708</v>
      </c>
    </row>
    <row r="24" spans="2:15" ht="12.95" customHeight="1" x14ac:dyDescent="0.2">
      <c r="B24" s="10"/>
      <c r="C24" s="11"/>
      <c r="D24" s="11"/>
      <c r="E24" s="577"/>
      <c r="F24" s="122">
        <v>613800</v>
      </c>
      <c r="G24" s="136"/>
      <c r="H24" s="22" t="s">
        <v>322</v>
      </c>
      <c r="I24" s="154">
        <v>390</v>
      </c>
      <c r="J24" s="154">
        <v>390</v>
      </c>
      <c r="K24" s="254">
        <v>420</v>
      </c>
      <c r="L24" s="154">
        <v>0</v>
      </c>
      <c r="M24" s="504">
        <f t="shared" si="4"/>
        <v>420</v>
      </c>
      <c r="N24" s="539">
        <f t="shared" si="0"/>
        <v>107.69230769230769</v>
      </c>
    </row>
    <row r="25" spans="2:15" ht="12.95" customHeight="1" x14ac:dyDescent="0.2">
      <c r="B25" s="10"/>
      <c r="C25" s="11"/>
      <c r="D25" s="11"/>
      <c r="E25" s="577"/>
      <c r="F25" s="122">
        <v>613800</v>
      </c>
      <c r="G25" s="136"/>
      <c r="H25" s="22" t="s">
        <v>528</v>
      </c>
      <c r="I25" s="154">
        <v>0</v>
      </c>
      <c r="J25" s="154">
        <v>0</v>
      </c>
      <c r="K25" s="254">
        <v>0</v>
      </c>
      <c r="L25" s="154">
        <v>0</v>
      </c>
      <c r="M25" s="504">
        <f t="shared" si="4"/>
        <v>0</v>
      </c>
      <c r="N25" s="539" t="str">
        <f t="shared" si="0"/>
        <v/>
      </c>
    </row>
    <row r="26" spans="2:15" ht="12.95" customHeight="1" x14ac:dyDescent="0.2">
      <c r="B26" s="10"/>
      <c r="C26" s="11"/>
      <c r="D26" s="11"/>
      <c r="E26" s="577"/>
      <c r="F26" s="122">
        <v>613900</v>
      </c>
      <c r="G26" s="136"/>
      <c r="H26" s="22" t="s">
        <v>325</v>
      </c>
      <c r="I26" s="154">
        <v>36000</v>
      </c>
      <c r="J26" s="154">
        <v>36000</v>
      </c>
      <c r="K26" s="254">
        <v>40000</v>
      </c>
      <c r="L26" s="154">
        <v>0</v>
      </c>
      <c r="M26" s="504">
        <f t="shared" si="4"/>
        <v>40000</v>
      </c>
      <c r="N26" s="539">
        <f t="shared" si="0"/>
        <v>111.11111111111111</v>
      </c>
    </row>
    <row r="27" spans="2:15" ht="12.95" customHeight="1" x14ac:dyDescent="0.2">
      <c r="B27" s="10"/>
      <c r="C27" s="11"/>
      <c r="D27" s="11"/>
      <c r="E27" s="577"/>
      <c r="F27" s="122">
        <v>613900</v>
      </c>
      <c r="G27" s="136" t="s">
        <v>333</v>
      </c>
      <c r="H27" s="22" t="s">
        <v>529</v>
      </c>
      <c r="I27" s="154">
        <v>51000</v>
      </c>
      <c r="J27" s="154">
        <v>51000</v>
      </c>
      <c r="K27" s="254">
        <v>55000</v>
      </c>
      <c r="L27" s="154">
        <v>0</v>
      </c>
      <c r="M27" s="504">
        <f t="shared" si="4"/>
        <v>55000</v>
      </c>
      <c r="N27" s="539">
        <f t="shared" si="0"/>
        <v>107.84313725490196</v>
      </c>
    </row>
    <row r="28" spans="2:15" ht="24.75" customHeight="1" x14ac:dyDescent="0.2">
      <c r="B28" s="10"/>
      <c r="C28" s="11"/>
      <c r="D28" s="11"/>
      <c r="E28" s="579" t="s">
        <v>719</v>
      </c>
      <c r="F28" s="125">
        <v>613900</v>
      </c>
      <c r="G28" s="139" t="s">
        <v>796</v>
      </c>
      <c r="H28" s="302" t="s">
        <v>788</v>
      </c>
      <c r="I28" s="154">
        <v>48000</v>
      </c>
      <c r="J28" s="154">
        <v>48000</v>
      </c>
      <c r="K28" s="254">
        <v>50000</v>
      </c>
      <c r="L28" s="154">
        <v>0</v>
      </c>
      <c r="M28" s="504">
        <f t="shared" ref="M28" si="6">SUM(K28:L28)</f>
        <v>50000</v>
      </c>
      <c r="N28" s="539">
        <f t="shared" ref="N28" si="7">IF(J28=0,"",M28/J28*100)</f>
        <v>104.16666666666667</v>
      </c>
    </row>
    <row r="29" spans="2:15" ht="8.1" customHeight="1" x14ac:dyDescent="0.2">
      <c r="B29" s="10"/>
      <c r="C29" s="11"/>
      <c r="D29" s="11"/>
      <c r="E29" s="577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5" s="1" customFormat="1" ht="12.95" customHeight="1" x14ac:dyDescent="0.25">
      <c r="B30" s="12"/>
      <c r="C30" s="8"/>
      <c r="D30" s="8"/>
      <c r="E30" s="286"/>
      <c r="F30" s="121">
        <v>614000</v>
      </c>
      <c r="G30" s="135"/>
      <c r="H30" s="23" t="s">
        <v>339</v>
      </c>
      <c r="I30" s="153">
        <f>SUM(I31:I39)</f>
        <v>2362000</v>
      </c>
      <c r="J30" s="153">
        <f>SUM(J31:J39)</f>
        <v>2362000</v>
      </c>
      <c r="K30" s="319">
        <f>SUM(K31:K39)</f>
        <v>2180000</v>
      </c>
      <c r="L30" s="153">
        <f>SUM(L31:L39)</f>
        <v>0</v>
      </c>
      <c r="M30" s="476">
        <f>SUM(M31:M39)</f>
        <v>2180000</v>
      </c>
      <c r="N30" s="538">
        <f t="shared" si="0"/>
        <v>92.294665537679933</v>
      </c>
    </row>
    <row r="31" spans="2:15" s="64" customFormat="1" ht="12.75" customHeight="1" x14ac:dyDescent="0.2">
      <c r="B31" s="61"/>
      <c r="C31" s="62"/>
      <c r="D31" s="63"/>
      <c r="E31" s="580" t="s">
        <v>725</v>
      </c>
      <c r="F31" s="125">
        <v>614100</v>
      </c>
      <c r="G31" s="139" t="s">
        <v>352</v>
      </c>
      <c r="H31" s="342" t="s">
        <v>530</v>
      </c>
      <c r="I31" s="275">
        <v>120000</v>
      </c>
      <c r="J31" s="275">
        <v>120000</v>
      </c>
      <c r="K31" s="324">
        <v>120000</v>
      </c>
      <c r="L31" s="275">
        <v>0</v>
      </c>
      <c r="M31" s="504">
        <f t="shared" ref="M31:M37" si="8">SUM(K31:L31)</f>
        <v>120000</v>
      </c>
      <c r="N31" s="539">
        <f t="shared" si="0"/>
        <v>100</v>
      </c>
      <c r="O31" s="555"/>
    </row>
    <row r="32" spans="2:15" ht="14.25" customHeight="1" x14ac:dyDescent="0.2">
      <c r="B32" s="10"/>
      <c r="C32" s="11"/>
      <c r="D32" s="11"/>
      <c r="E32" s="581" t="s">
        <v>719</v>
      </c>
      <c r="F32" s="126">
        <v>614100</v>
      </c>
      <c r="G32" s="140" t="s">
        <v>354</v>
      </c>
      <c r="H32" s="301" t="s">
        <v>531</v>
      </c>
      <c r="I32" s="154">
        <v>408000</v>
      </c>
      <c r="J32" s="154">
        <v>408000</v>
      </c>
      <c r="K32" s="254">
        <v>410000</v>
      </c>
      <c r="L32" s="154">
        <v>0</v>
      </c>
      <c r="M32" s="504">
        <f t="shared" si="8"/>
        <v>410000</v>
      </c>
      <c r="N32" s="539">
        <f t="shared" si="0"/>
        <v>100.49019607843137</v>
      </c>
    </row>
    <row r="33" spans="2:15" ht="12.95" customHeight="1" x14ac:dyDescent="0.2">
      <c r="B33" s="10"/>
      <c r="C33" s="11"/>
      <c r="D33" s="11"/>
      <c r="E33" s="582" t="s">
        <v>725</v>
      </c>
      <c r="F33" s="122">
        <v>614200</v>
      </c>
      <c r="G33" s="136" t="s">
        <v>365</v>
      </c>
      <c r="H33" s="301" t="s">
        <v>532</v>
      </c>
      <c r="I33" s="154">
        <v>200000</v>
      </c>
      <c r="J33" s="154">
        <v>200000</v>
      </c>
      <c r="K33" s="254">
        <v>200000</v>
      </c>
      <c r="L33" s="154">
        <v>0</v>
      </c>
      <c r="M33" s="504">
        <f t="shared" si="8"/>
        <v>200000</v>
      </c>
      <c r="N33" s="539">
        <f t="shared" si="0"/>
        <v>100</v>
      </c>
    </row>
    <row r="34" spans="2:15" s="64" customFormat="1" ht="15" customHeight="1" x14ac:dyDescent="0.2">
      <c r="B34" s="61"/>
      <c r="C34" s="62"/>
      <c r="D34" s="62"/>
      <c r="E34" s="579" t="s">
        <v>719</v>
      </c>
      <c r="F34" s="125">
        <v>614200</v>
      </c>
      <c r="G34" s="139" t="s">
        <v>367</v>
      </c>
      <c r="H34" s="593" t="s">
        <v>533</v>
      </c>
      <c r="I34" s="275">
        <v>34000</v>
      </c>
      <c r="J34" s="275">
        <v>34000</v>
      </c>
      <c r="K34" s="324">
        <v>50000</v>
      </c>
      <c r="L34" s="275">
        <v>0</v>
      </c>
      <c r="M34" s="518">
        <f t="shared" ref="M34" si="9">SUM(K34:L34)</f>
        <v>50000</v>
      </c>
      <c r="N34" s="539">
        <f t="shared" ref="N34" si="10">IF(J34=0,"",M34/J34*100)</f>
        <v>147.05882352941177</v>
      </c>
    </row>
    <row r="35" spans="2:15" ht="12.95" customHeight="1" x14ac:dyDescent="0.2">
      <c r="B35" s="10"/>
      <c r="C35" s="11"/>
      <c r="D35" s="11"/>
      <c r="E35" s="582" t="s">
        <v>719</v>
      </c>
      <c r="F35" s="122">
        <v>614200</v>
      </c>
      <c r="G35" s="136" t="s">
        <v>369</v>
      </c>
      <c r="H35" s="301" t="s">
        <v>534</v>
      </c>
      <c r="I35" s="154">
        <v>250000</v>
      </c>
      <c r="J35" s="154">
        <v>250000</v>
      </c>
      <c r="K35" s="254">
        <v>250000</v>
      </c>
      <c r="L35" s="154">
        <v>0</v>
      </c>
      <c r="M35" s="504">
        <f t="shared" ref="M35" si="11">SUM(K35:L35)</f>
        <v>250000</v>
      </c>
      <c r="N35" s="539">
        <f t="shared" ref="N35" si="12">IF(J35=0,"",M35/J35*100)</f>
        <v>100</v>
      </c>
    </row>
    <row r="36" spans="2:15" ht="12.95" customHeight="1" x14ac:dyDescent="0.2">
      <c r="B36" s="10"/>
      <c r="C36" s="11"/>
      <c r="D36" s="11"/>
      <c r="E36" s="582" t="s">
        <v>709</v>
      </c>
      <c r="F36" s="122">
        <v>614300</v>
      </c>
      <c r="G36" s="136" t="s">
        <v>387</v>
      </c>
      <c r="H36" s="301" t="s">
        <v>535</v>
      </c>
      <c r="I36" s="154">
        <v>450000</v>
      </c>
      <c r="J36" s="154">
        <v>450000</v>
      </c>
      <c r="K36" s="254">
        <v>450000</v>
      </c>
      <c r="L36" s="154">
        <v>0</v>
      </c>
      <c r="M36" s="504">
        <f t="shared" si="8"/>
        <v>450000</v>
      </c>
      <c r="N36" s="539">
        <f t="shared" si="0"/>
        <v>100</v>
      </c>
    </row>
    <row r="37" spans="2:15" ht="12.95" customHeight="1" x14ac:dyDescent="0.2">
      <c r="B37" s="10"/>
      <c r="C37" s="11"/>
      <c r="D37" s="11"/>
      <c r="E37" s="582" t="s">
        <v>711</v>
      </c>
      <c r="F37" s="122">
        <v>614300</v>
      </c>
      <c r="G37" s="136" t="s">
        <v>389</v>
      </c>
      <c r="H37" s="301" t="s">
        <v>536</v>
      </c>
      <c r="I37" s="154">
        <v>300000</v>
      </c>
      <c r="J37" s="154">
        <v>300000</v>
      </c>
      <c r="K37" s="254">
        <v>50000</v>
      </c>
      <c r="L37" s="154">
        <v>0</v>
      </c>
      <c r="M37" s="504">
        <f t="shared" si="8"/>
        <v>50000</v>
      </c>
      <c r="N37" s="539">
        <f t="shared" si="0"/>
        <v>16.666666666666664</v>
      </c>
      <c r="O37" s="277"/>
    </row>
    <row r="38" spans="2:15" ht="12.95" customHeight="1" x14ac:dyDescent="0.2">
      <c r="B38" s="10"/>
      <c r="C38" s="11"/>
      <c r="D38" s="11"/>
      <c r="E38" s="583" t="s">
        <v>705</v>
      </c>
      <c r="F38" s="126">
        <v>614300</v>
      </c>
      <c r="G38" s="140" t="s">
        <v>391</v>
      </c>
      <c r="H38" s="343" t="s">
        <v>537</v>
      </c>
      <c r="I38" s="154">
        <v>450000</v>
      </c>
      <c r="J38" s="154">
        <v>450000</v>
      </c>
      <c r="K38" s="254">
        <v>480000</v>
      </c>
      <c r="L38" s="154">
        <v>0</v>
      </c>
      <c r="M38" s="504">
        <f t="shared" ref="M38:M39" si="13">SUM(K38:L38)</f>
        <v>480000</v>
      </c>
      <c r="N38" s="539">
        <f t="shared" si="0"/>
        <v>106.66666666666667</v>
      </c>
    </row>
    <row r="39" spans="2:15" ht="12.95" customHeight="1" x14ac:dyDescent="0.2">
      <c r="B39" s="10"/>
      <c r="C39" s="11"/>
      <c r="D39" s="11"/>
      <c r="E39" s="583" t="s">
        <v>707</v>
      </c>
      <c r="F39" s="126">
        <v>614300</v>
      </c>
      <c r="G39" s="140" t="s">
        <v>393</v>
      </c>
      <c r="H39" s="343" t="s">
        <v>538</v>
      </c>
      <c r="I39" s="154">
        <v>150000</v>
      </c>
      <c r="J39" s="154">
        <v>150000</v>
      </c>
      <c r="K39" s="254">
        <v>170000</v>
      </c>
      <c r="L39" s="154">
        <v>0</v>
      </c>
      <c r="M39" s="504">
        <f t="shared" si="13"/>
        <v>170000</v>
      </c>
      <c r="N39" s="539">
        <f t="shared" si="0"/>
        <v>113.33333333333333</v>
      </c>
    </row>
    <row r="40" spans="2:15" ht="8.1" customHeight="1" x14ac:dyDescent="0.2">
      <c r="B40" s="10"/>
      <c r="C40" s="11"/>
      <c r="D40" s="11"/>
      <c r="E40" s="577"/>
      <c r="F40" s="122"/>
      <c r="G40" s="136"/>
      <c r="H40" s="22"/>
      <c r="I40" s="154"/>
      <c r="J40" s="154"/>
      <c r="K40" s="254"/>
      <c r="L40" s="154"/>
      <c r="M40" s="478"/>
      <c r="N40" s="539" t="str">
        <f t="shared" ref="N40" si="14">IF(J40=0,"",M40/J40*100)</f>
        <v/>
      </c>
    </row>
    <row r="41" spans="2:15" s="1" customFormat="1" ht="12.95" customHeight="1" x14ac:dyDescent="0.25">
      <c r="B41" s="12"/>
      <c r="C41" s="8"/>
      <c r="D41" s="8"/>
      <c r="E41" s="286"/>
      <c r="F41" s="121">
        <v>615000</v>
      </c>
      <c r="G41" s="135"/>
      <c r="H41" s="23" t="s">
        <v>410</v>
      </c>
      <c r="I41" s="153">
        <f>I42</f>
        <v>0</v>
      </c>
      <c r="J41" s="153">
        <f>J42</f>
        <v>0</v>
      </c>
      <c r="K41" s="319">
        <f>K42</f>
        <v>250000</v>
      </c>
      <c r="L41" s="153">
        <f>L42</f>
        <v>0</v>
      </c>
      <c r="M41" s="476">
        <f>M42</f>
        <v>250000</v>
      </c>
      <c r="N41" s="538" t="str">
        <f t="shared" ref="N41:N42" si="15">IF(J41=0,"",M41/J41*100)</f>
        <v/>
      </c>
    </row>
    <row r="42" spans="2:15" s="64" customFormat="1" ht="25.5" customHeight="1" x14ac:dyDescent="0.2">
      <c r="B42" s="61"/>
      <c r="C42" s="62"/>
      <c r="D42" s="63"/>
      <c r="E42" s="580" t="s">
        <v>711</v>
      </c>
      <c r="F42" s="125">
        <v>615300</v>
      </c>
      <c r="G42" s="139"/>
      <c r="H42" s="342" t="s">
        <v>882</v>
      </c>
      <c r="I42" s="275">
        <v>0</v>
      </c>
      <c r="J42" s="275">
        <v>0</v>
      </c>
      <c r="K42" s="324">
        <v>250000</v>
      </c>
      <c r="L42" s="275">
        <v>0</v>
      </c>
      <c r="M42" s="518">
        <f t="shared" ref="M42" si="16">SUM(K42:L42)</f>
        <v>250000</v>
      </c>
      <c r="N42" s="539" t="str">
        <f t="shared" si="15"/>
        <v/>
      </c>
      <c r="O42" s="555"/>
    </row>
    <row r="43" spans="2:15" ht="8.1" customHeight="1" x14ac:dyDescent="0.2">
      <c r="B43" s="10"/>
      <c r="C43" s="11"/>
      <c r="D43" s="11"/>
      <c r="E43" s="582"/>
      <c r="F43" s="122"/>
      <c r="G43" s="136"/>
      <c r="H43" s="301"/>
      <c r="I43" s="154"/>
      <c r="J43" s="154"/>
      <c r="K43" s="254"/>
      <c r="L43" s="154"/>
      <c r="M43" s="478"/>
      <c r="N43" s="539" t="str">
        <f t="shared" si="0"/>
        <v/>
      </c>
      <c r="O43" s="277"/>
    </row>
    <row r="44" spans="2:15" s="1" customFormat="1" ht="12.95" customHeight="1" x14ac:dyDescent="0.25">
      <c r="B44" s="12"/>
      <c r="C44" s="8"/>
      <c r="D44" s="8"/>
      <c r="E44" s="286"/>
      <c r="F44" s="121">
        <v>821000</v>
      </c>
      <c r="G44" s="135"/>
      <c r="H44" s="23" t="s">
        <v>427</v>
      </c>
      <c r="I44" s="153">
        <f>SUM(I45:I46)</f>
        <v>1129280</v>
      </c>
      <c r="J44" s="153">
        <f>SUM(J45:J46)</f>
        <v>1129280</v>
      </c>
      <c r="K44" s="319">
        <f>SUM(K45:K46)</f>
        <v>1057000</v>
      </c>
      <c r="L44" s="153">
        <f>SUM(L45:L46)</f>
        <v>234700</v>
      </c>
      <c r="M44" s="476">
        <f>SUM(M45:M46)</f>
        <v>1291700</v>
      </c>
      <c r="N44" s="538">
        <f t="shared" si="0"/>
        <v>114.38261547180504</v>
      </c>
    </row>
    <row r="45" spans="2:15" ht="12.95" customHeight="1" x14ac:dyDescent="0.2">
      <c r="B45" s="10"/>
      <c r="C45" s="11"/>
      <c r="D45" s="11"/>
      <c r="E45" s="582"/>
      <c r="F45" s="122">
        <v>821200</v>
      </c>
      <c r="G45" s="136"/>
      <c r="H45" s="22" t="s">
        <v>429</v>
      </c>
      <c r="I45" s="151">
        <v>1086910</v>
      </c>
      <c r="J45" s="151">
        <v>1086910</v>
      </c>
      <c r="K45" s="253">
        <f>800000+250000</f>
        <v>1050000</v>
      </c>
      <c r="L45" s="151">
        <v>234700</v>
      </c>
      <c r="M45" s="504">
        <f t="shared" ref="M45:M46" si="17">SUM(K45:L45)</f>
        <v>1284700</v>
      </c>
      <c r="N45" s="539">
        <f t="shared" si="0"/>
        <v>118.19745885123882</v>
      </c>
    </row>
    <row r="46" spans="2:15" ht="12.95" customHeight="1" x14ac:dyDescent="0.2">
      <c r="B46" s="10"/>
      <c r="C46" s="11"/>
      <c r="D46" s="11"/>
      <c r="E46" s="287"/>
      <c r="F46" s="122">
        <v>821300</v>
      </c>
      <c r="G46" s="136"/>
      <c r="H46" s="22" t="s">
        <v>430</v>
      </c>
      <c r="I46" s="154">
        <v>42370</v>
      </c>
      <c r="J46" s="154">
        <v>42370</v>
      </c>
      <c r="K46" s="254">
        <v>7000</v>
      </c>
      <c r="L46" s="154">
        <v>0</v>
      </c>
      <c r="M46" s="504">
        <f t="shared" si="17"/>
        <v>7000</v>
      </c>
      <c r="N46" s="539">
        <f t="shared" si="0"/>
        <v>16.521123436393676</v>
      </c>
    </row>
    <row r="47" spans="2:15" ht="8.1" customHeight="1" x14ac:dyDescent="0.2">
      <c r="B47" s="10"/>
      <c r="C47" s="11"/>
      <c r="D47" s="11"/>
      <c r="E47" s="11"/>
      <c r="F47" s="122"/>
      <c r="G47" s="136"/>
      <c r="H47" s="22"/>
      <c r="I47" s="151"/>
      <c r="J47" s="151"/>
      <c r="K47" s="253"/>
      <c r="L47" s="151"/>
      <c r="M47" s="478"/>
      <c r="N47" s="539" t="str">
        <f t="shared" si="0"/>
        <v/>
      </c>
    </row>
    <row r="48" spans="2:15" s="1" customFormat="1" ht="12.95" customHeight="1" x14ac:dyDescent="0.25">
      <c r="B48" s="12"/>
      <c r="C48" s="8"/>
      <c r="D48" s="8"/>
      <c r="E48" s="8"/>
      <c r="F48" s="121"/>
      <c r="G48" s="135"/>
      <c r="H48" s="23" t="s">
        <v>441</v>
      </c>
      <c r="I48" s="269" t="s">
        <v>539</v>
      </c>
      <c r="J48" s="269" t="s">
        <v>539</v>
      </c>
      <c r="K48" s="321" t="s">
        <v>539</v>
      </c>
      <c r="L48" s="153"/>
      <c r="M48" s="471" t="s">
        <v>539</v>
      </c>
      <c r="N48" s="539"/>
    </row>
    <row r="49" spans="2:14" s="1" customFormat="1" ht="12.95" customHeight="1" x14ac:dyDescent="0.25">
      <c r="B49" s="12"/>
      <c r="C49" s="8"/>
      <c r="D49" s="8"/>
      <c r="E49" s="8"/>
      <c r="F49" s="121"/>
      <c r="G49" s="135"/>
      <c r="H49" s="8" t="s">
        <v>453</v>
      </c>
      <c r="I49" s="259">
        <f>I8+I12+I15+I30+I41+I44</f>
        <v>5354030</v>
      </c>
      <c r="J49" s="14">
        <f t="shared" ref="J49:M49" si="18">J8+J12+J15+J30+J41+J44</f>
        <v>5354030</v>
      </c>
      <c r="K49" s="262">
        <f t="shared" si="18"/>
        <v>5265370</v>
      </c>
      <c r="L49" s="14">
        <f t="shared" si="18"/>
        <v>234700</v>
      </c>
      <c r="M49" s="476">
        <f t="shared" si="18"/>
        <v>5500070</v>
      </c>
      <c r="N49" s="538">
        <f>IF(J49=0,"",M49/J49*100)</f>
        <v>102.72766495518329</v>
      </c>
    </row>
    <row r="50" spans="2:14" s="1" customFormat="1" ht="12.95" customHeight="1" x14ac:dyDescent="0.2">
      <c r="B50" s="12"/>
      <c r="C50" s="8"/>
      <c r="D50" s="8"/>
      <c r="E50" s="8"/>
      <c r="F50" s="121"/>
      <c r="G50" s="135"/>
      <c r="H50" s="8" t="s">
        <v>454</v>
      </c>
      <c r="I50" s="11"/>
      <c r="J50" s="11"/>
      <c r="K50" s="10"/>
      <c r="L50" s="11"/>
      <c r="M50" s="511"/>
      <c r="N50" s="539"/>
    </row>
    <row r="51" spans="2:14" s="1" customFormat="1" ht="12.95" customHeight="1" x14ac:dyDescent="0.2">
      <c r="B51" s="12"/>
      <c r="C51" s="8"/>
      <c r="D51" s="8"/>
      <c r="E51" s="8"/>
      <c r="F51" s="121"/>
      <c r="G51" s="135"/>
      <c r="H51" s="8" t="s">
        <v>455</v>
      </c>
      <c r="I51" s="11"/>
      <c r="J51" s="11"/>
      <c r="K51" s="10"/>
      <c r="L51" s="11"/>
      <c r="M51" s="511"/>
      <c r="N51" s="539"/>
    </row>
    <row r="52" spans="2:14" ht="8.1" customHeight="1" thickBot="1" x14ac:dyDescent="0.25">
      <c r="B52" s="15"/>
      <c r="C52" s="16"/>
      <c r="D52" s="16"/>
      <c r="E52" s="16"/>
      <c r="F52" s="123"/>
      <c r="G52" s="137"/>
      <c r="H52" s="16"/>
      <c r="I52" s="16"/>
      <c r="J52" s="16"/>
      <c r="K52" s="15"/>
      <c r="L52" s="16"/>
      <c r="M52" s="496"/>
      <c r="N52" s="540"/>
    </row>
    <row r="53" spans="2:14" ht="12.95" customHeight="1" x14ac:dyDescent="0.2">
      <c r="F53" s="124"/>
      <c r="G53" s="138"/>
      <c r="K53" s="543"/>
      <c r="M53" s="161"/>
    </row>
    <row r="54" spans="2:14" ht="17.100000000000001" customHeight="1" x14ac:dyDescent="0.2">
      <c r="F54" s="124"/>
      <c r="G54" s="138"/>
      <c r="K54" s="277"/>
      <c r="M54" s="161"/>
    </row>
    <row r="55" spans="2:14" ht="17.100000000000001" customHeight="1" x14ac:dyDescent="0.2">
      <c r="F55" s="124"/>
      <c r="G55" s="138"/>
      <c r="M55" s="161"/>
    </row>
    <row r="56" spans="2:14" ht="17.100000000000001" customHeight="1" x14ac:dyDescent="0.2">
      <c r="F56" s="124"/>
      <c r="G56" s="138"/>
      <c r="M56" s="161"/>
    </row>
    <row r="57" spans="2:14" ht="14.25" x14ac:dyDescent="0.2">
      <c r="F57" s="124"/>
      <c r="G57" s="138"/>
      <c r="M57" s="161"/>
    </row>
    <row r="58" spans="2:14" ht="14.25" x14ac:dyDescent="0.2">
      <c r="F58" s="124"/>
      <c r="G58" s="138"/>
      <c r="M58" s="161"/>
    </row>
    <row r="59" spans="2:14" ht="14.25" x14ac:dyDescent="0.2">
      <c r="F59" s="124"/>
      <c r="G59" s="138"/>
      <c r="M59" s="161"/>
    </row>
    <row r="60" spans="2:14" ht="14.25" x14ac:dyDescent="0.2">
      <c r="F60" s="124"/>
      <c r="G60" s="138"/>
      <c r="M60" s="161"/>
    </row>
    <row r="61" spans="2:14" ht="14.25" x14ac:dyDescent="0.2">
      <c r="F61" s="124"/>
      <c r="G61" s="138"/>
      <c r="M61" s="161"/>
    </row>
    <row r="62" spans="2:14" ht="14.25" x14ac:dyDescent="0.2">
      <c r="F62" s="124"/>
      <c r="G62" s="138"/>
      <c r="M62" s="161"/>
    </row>
    <row r="63" spans="2:14" ht="14.25" x14ac:dyDescent="0.2">
      <c r="F63" s="124"/>
      <c r="G63" s="138"/>
      <c r="M63" s="161"/>
    </row>
    <row r="64" spans="2:14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24"/>
      <c r="M68" s="161"/>
    </row>
    <row r="69" spans="6:13" ht="14.25" x14ac:dyDescent="0.2">
      <c r="F69" s="124"/>
      <c r="G69" s="124"/>
      <c r="M69" s="161"/>
    </row>
    <row r="70" spans="6:13" ht="14.25" x14ac:dyDescent="0.2">
      <c r="F70" s="124"/>
      <c r="G70" s="124"/>
      <c r="M70" s="161"/>
    </row>
    <row r="71" spans="6:13" ht="14.25" x14ac:dyDescent="0.2">
      <c r="F71" s="124"/>
      <c r="G71" s="124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x14ac:dyDescent="0.2">
      <c r="G85" s="124"/>
    </row>
    <row r="86" spans="6:13" x14ac:dyDescent="0.2">
      <c r="G86" s="124"/>
    </row>
    <row r="87" spans="6:13" x14ac:dyDescent="0.2">
      <c r="G87" s="124"/>
    </row>
    <row r="88" spans="6:13" x14ac:dyDescent="0.2">
      <c r="G88" s="124"/>
    </row>
    <row r="89" spans="6:13" x14ac:dyDescent="0.2">
      <c r="G89" s="124"/>
    </row>
    <row r="90" spans="6:13" x14ac:dyDescent="0.2">
      <c r="G90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5"/>
  <dimension ref="B1:R94"/>
  <sheetViews>
    <sheetView topLeftCell="E9" zoomScale="150" zoomScaleNormal="15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5" width="9.140625" style="9"/>
    <col min="16" max="16" width="10.140625" style="9" bestFit="1" customWidth="1"/>
    <col min="17" max="16384" width="9.140625" style="9"/>
  </cols>
  <sheetData>
    <row r="1" spans="2:18" ht="13.5" thickBot="1" x14ac:dyDescent="0.25"/>
    <row r="2" spans="2:18" s="64" customFormat="1" ht="20.100000000000001" customHeight="1" thickTop="1" thickBot="1" x14ac:dyDescent="0.25">
      <c r="B2" s="649" t="s">
        <v>540</v>
      </c>
      <c r="C2" s="675"/>
      <c r="D2" s="675"/>
      <c r="E2" s="675"/>
      <c r="F2" s="675"/>
      <c r="G2" s="675"/>
      <c r="H2" s="675"/>
      <c r="I2" s="675"/>
      <c r="J2" s="675"/>
      <c r="K2" s="675"/>
      <c r="L2" s="675"/>
      <c r="M2" s="675"/>
      <c r="N2" s="668"/>
    </row>
    <row r="3" spans="2:18" s="1" customFormat="1" ht="8.1" customHeight="1" thickTop="1" thickBot="1" x14ac:dyDescent="0.25"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2:18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74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8" s="1" customFormat="1" ht="27" customHeight="1" x14ac:dyDescent="0.2">
      <c r="B5" s="657"/>
      <c r="C5" s="659"/>
      <c r="D5" s="659"/>
      <c r="E5" s="661"/>
      <c r="F5" s="663"/>
      <c r="G5" s="661"/>
      <c r="H5" s="663"/>
      <c r="I5" s="671"/>
      <c r="J5" s="663"/>
      <c r="K5" s="265" t="s">
        <v>289</v>
      </c>
      <c r="L5" s="159" t="s">
        <v>290</v>
      </c>
      <c r="M5" s="468" t="s">
        <v>291</v>
      </c>
      <c r="N5" s="666"/>
    </row>
    <row r="6" spans="2:18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232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8" s="2" customFormat="1" ht="12.95" customHeight="1" x14ac:dyDescent="0.25">
      <c r="B7" s="6" t="s">
        <v>527</v>
      </c>
      <c r="C7" s="7" t="s">
        <v>484</v>
      </c>
      <c r="D7" s="7" t="s">
        <v>465</v>
      </c>
      <c r="E7" s="286" t="s">
        <v>721</v>
      </c>
      <c r="F7" s="5"/>
      <c r="G7" s="5"/>
      <c r="H7" s="5"/>
      <c r="I7" s="270"/>
      <c r="J7" s="56"/>
      <c r="K7" s="271"/>
      <c r="L7" s="56"/>
      <c r="M7" s="514"/>
      <c r="N7" s="537"/>
    </row>
    <row r="8" spans="2:18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1453990</v>
      </c>
      <c r="J8" s="153">
        <f>SUM(J9:J11)</f>
        <v>1453990</v>
      </c>
      <c r="K8" s="319">
        <f>SUM(K9:K11)</f>
        <v>1434950</v>
      </c>
      <c r="L8" s="153">
        <f>SUM(L9:L11)</f>
        <v>0</v>
      </c>
      <c r="M8" s="503">
        <f>SUM(M9:M11)</f>
        <v>1434950</v>
      </c>
      <c r="N8" s="538">
        <f t="shared" ref="N8:N29" si="0">IF(J8=0,"",M8/J8*100)</f>
        <v>98.69049993466254</v>
      </c>
      <c r="P8" s="45"/>
      <c r="Q8" s="45"/>
    </row>
    <row r="9" spans="2:18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1148290+5000</f>
        <v>1153290</v>
      </c>
      <c r="J9" s="154">
        <f>1148290+5000</f>
        <v>1153290</v>
      </c>
      <c r="K9" s="254">
        <f>1171000+29280</f>
        <v>1200280</v>
      </c>
      <c r="L9" s="154">
        <v>0</v>
      </c>
      <c r="M9" s="504">
        <f>SUM(K9:L9)</f>
        <v>1200280</v>
      </c>
      <c r="N9" s="539">
        <f t="shared" si="0"/>
        <v>104.07443054218801</v>
      </c>
      <c r="P9" s="44"/>
    </row>
    <row r="10" spans="2:18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281700+1800+43*400</f>
        <v>300700</v>
      </c>
      <c r="J10" s="154">
        <f>281700+1800+43*400</f>
        <v>300700</v>
      </c>
      <c r="K10" s="254">
        <f>234670</f>
        <v>234670</v>
      </c>
      <c r="L10" s="154">
        <v>0</v>
      </c>
      <c r="M10" s="504">
        <f t="shared" ref="M10" si="1">SUM(K10:L10)</f>
        <v>234670</v>
      </c>
      <c r="N10" s="539">
        <f t="shared" si="0"/>
        <v>78.041237113402062</v>
      </c>
      <c r="P10" s="44"/>
      <c r="R10" s="277"/>
    </row>
    <row r="11" spans="2:18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8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126800</v>
      </c>
      <c r="J12" s="153">
        <f t="shared" si="2"/>
        <v>126800</v>
      </c>
      <c r="K12" s="319">
        <f>K13</f>
        <v>126720</v>
      </c>
      <c r="L12" s="153">
        <f>L13</f>
        <v>0</v>
      </c>
      <c r="M12" s="503">
        <f>M13</f>
        <v>126720</v>
      </c>
      <c r="N12" s="538">
        <f t="shared" si="0"/>
        <v>99.936908517350147</v>
      </c>
    </row>
    <row r="13" spans="2:18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126200+600</f>
        <v>126800</v>
      </c>
      <c r="J13" s="154">
        <f>126200+600</f>
        <v>126800</v>
      </c>
      <c r="K13" s="254">
        <f>123500+3220</f>
        <v>126720</v>
      </c>
      <c r="L13" s="154">
        <v>0</v>
      </c>
      <c r="M13" s="504">
        <f>SUM(K13:L13)</f>
        <v>126720</v>
      </c>
      <c r="N13" s="539">
        <f t="shared" si="0"/>
        <v>99.936908517350147</v>
      </c>
      <c r="P13" s="44"/>
    </row>
    <row r="14" spans="2:18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8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181080</v>
      </c>
      <c r="J15" s="155">
        <f>SUM(J16:J24)</f>
        <v>181080</v>
      </c>
      <c r="K15" s="320">
        <f>SUM(K16:K24)</f>
        <v>190570</v>
      </c>
      <c r="L15" s="155">
        <f>SUM(L16:L24)</f>
        <v>0</v>
      </c>
      <c r="M15" s="476">
        <f>SUM(M16:M24)</f>
        <v>190570</v>
      </c>
      <c r="N15" s="538">
        <f t="shared" si="0"/>
        <v>105.24077755688093</v>
      </c>
    </row>
    <row r="16" spans="2:18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6000</v>
      </c>
      <c r="J16" s="154">
        <v>6000</v>
      </c>
      <c r="K16" s="254">
        <v>7000</v>
      </c>
      <c r="L16" s="154">
        <v>0</v>
      </c>
      <c r="M16" s="504">
        <f t="shared" ref="M16:M24" si="3">SUM(K16:L16)</f>
        <v>7000</v>
      </c>
      <c r="N16" s="539">
        <f t="shared" si="0"/>
        <v>116.66666666666667</v>
      </c>
    </row>
    <row r="17" spans="2:17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90000</v>
      </c>
      <c r="J17" s="154">
        <v>90000</v>
      </c>
      <c r="K17" s="254">
        <v>90000</v>
      </c>
      <c r="L17" s="154">
        <v>0</v>
      </c>
      <c r="M17" s="504">
        <f t="shared" si="3"/>
        <v>90000</v>
      </c>
      <c r="N17" s="539">
        <f t="shared" si="0"/>
        <v>100</v>
      </c>
    </row>
    <row r="18" spans="2:17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13000</v>
      </c>
      <c r="J18" s="154">
        <v>13000</v>
      </c>
      <c r="K18" s="254">
        <v>12000</v>
      </c>
      <c r="L18" s="154">
        <v>0</v>
      </c>
      <c r="M18" s="504">
        <f t="shared" si="3"/>
        <v>12000</v>
      </c>
      <c r="N18" s="539">
        <f t="shared" si="0"/>
        <v>92.307692307692307</v>
      </c>
    </row>
    <row r="19" spans="2:17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24000</v>
      </c>
      <c r="J19" s="154">
        <v>24000</v>
      </c>
      <c r="K19" s="254">
        <v>25000</v>
      </c>
      <c r="L19" s="154">
        <v>0</v>
      </c>
      <c r="M19" s="504">
        <f t="shared" si="3"/>
        <v>25000</v>
      </c>
      <c r="N19" s="539">
        <f t="shared" si="0"/>
        <v>104.16666666666667</v>
      </c>
    </row>
    <row r="20" spans="2:17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3500</v>
      </c>
      <c r="J20" s="154">
        <v>3500</v>
      </c>
      <c r="K20" s="254">
        <v>4000</v>
      </c>
      <c r="L20" s="154">
        <v>0</v>
      </c>
      <c r="M20" s="504">
        <f t="shared" si="3"/>
        <v>4000</v>
      </c>
      <c r="N20" s="539">
        <f t="shared" si="0"/>
        <v>114.28571428571428</v>
      </c>
    </row>
    <row r="21" spans="2:17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7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20000</v>
      </c>
      <c r="J22" s="154">
        <v>20000</v>
      </c>
      <c r="K22" s="254">
        <v>22000</v>
      </c>
      <c r="L22" s="154">
        <v>0</v>
      </c>
      <c r="M22" s="504">
        <f t="shared" si="3"/>
        <v>22000</v>
      </c>
      <c r="N22" s="539">
        <f t="shared" si="0"/>
        <v>110.00000000000001</v>
      </c>
    </row>
    <row r="23" spans="2:17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1580</v>
      </c>
      <c r="J23" s="154">
        <v>1580</v>
      </c>
      <c r="K23" s="254">
        <v>1700</v>
      </c>
      <c r="L23" s="154">
        <v>0</v>
      </c>
      <c r="M23" s="504">
        <f t="shared" si="3"/>
        <v>1700</v>
      </c>
      <c r="N23" s="539">
        <f t="shared" si="0"/>
        <v>107.59493670886076</v>
      </c>
    </row>
    <row r="24" spans="2:17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23000</v>
      </c>
      <c r="J24" s="154">
        <v>23000</v>
      </c>
      <c r="K24" s="254">
        <f>25000+3870</f>
        <v>28870</v>
      </c>
      <c r="L24" s="154">
        <v>0</v>
      </c>
      <c r="M24" s="504">
        <f t="shared" si="3"/>
        <v>28870</v>
      </c>
      <c r="N24" s="539">
        <f t="shared" si="0"/>
        <v>125.52173913043478</v>
      </c>
    </row>
    <row r="25" spans="2:17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7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SUM(I27:I29)</f>
        <v>30000</v>
      </c>
      <c r="J26" s="153">
        <f t="shared" si="4"/>
        <v>30000</v>
      </c>
      <c r="K26" s="319">
        <f>SUM(K27:K29)</f>
        <v>42000</v>
      </c>
      <c r="L26" s="153">
        <f>SUM(L27:L29)</f>
        <v>0</v>
      </c>
      <c r="M26" s="476">
        <f>SUM(M27:M29)</f>
        <v>42000</v>
      </c>
      <c r="N26" s="538">
        <f t="shared" si="0"/>
        <v>140</v>
      </c>
    </row>
    <row r="27" spans="2:17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15000</v>
      </c>
      <c r="J27" s="154">
        <v>15000</v>
      </c>
      <c r="K27" s="254">
        <v>22000</v>
      </c>
      <c r="L27" s="154">
        <v>0</v>
      </c>
      <c r="M27" s="504">
        <f t="shared" ref="M27:M28" si="5">SUM(K27:L27)</f>
        <v>22000</v>
      </c>
      <c r="N27" s="539">
        <f t="shared" si="0"/>
        <v>146.66666666666666</v>
      </c>
    </row>
    <row r="28" spans="2:17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15000</v>
      </c>
      <c r="J28" s="154">
        <v>15000</v>
      </c>
      <c r="K28" s="254">
        <v>20000</v>
      </c>
      <c r="L28" s="154">
        <v>0</v>
      </c>
      <c r="M28" s="504">
        <f t="shared" si="5"/>
        <v>20000</v>
      </c>
      <c r="N28" s="539">
        <f t="shared" si="0"/>
        <v>133.33333333333331</v>
      </c>
    </row>
    <row r="29" spans="2:17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7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837</v>
      </c>
      <c r="J30" s="269" t="s">
        <v>837</v>
      </c>
      <c r="K30" s="321" t="s">
        <v>837</v>
      </c>
      <c r="L30" s="269"/>
      <c r="M30" s="471" t="s">
        <v>837</v>
      </c>
      <c r="N30" s="539"/>
    </row>
    <row r="31" spans="2:17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1791870</v>
      </c>
      <c r="J31" s="14">
        <f>J8+J12+J15+J26</f>
        <v>1791870</v>
      </c>
      <c r="K31" s="262">
        <f>K8+K12+K15+K26</f>
        <v>1794240</v>
      </c>
      <c r="L31" s="14">
        <f>L8+L12+L15+L26</f>
        <v>0</v>
      </c>
      <c r="M31" s="476">
        <f>M8+M12+M15+M26</f>
        <v>1794240</v>
      </c>
      <c r="N31" s="538">
        <f>IF(J31=0,"",M31/J31*100)</f>
        <v>100.13226405933466</v>
      </c>
    </row>
    <row r="32" spans="2:17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  <c r="Q32" s="1" t="s">
        <v>515</v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64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K36" s="311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2">
    <mergeCell ref="B2:N2"/>
    <mergeCell ref="N4:N5"/>
    <mergeCell ref="H4:H5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4"/>
  <dimension ref="B1:P94"/>
  <sheetViews>
    <sheetView topLeftCell="E1"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541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484</v>
      </c>
      <c r="D7" s="7" t="s">
        <v>467</v>
      </c>
      <c r="E7" s="286" t="s">
        <v>721</v>
      </c>
      <c r="F7" s="5"/>
      <c r="G7" s="5"/>
      <c r="H7" s="5"/>
      <c r="I7" s="258"/>
      <c r="J7" s="5"/>
      <c r="K7" s="4"/>
      <c r="L7" s="5"/>
      <c r="M7" s="502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1315300</v>
      </c>
      <c r="J8" s="153">
        <f>SUM(J9:J11)</f>
        <v>1315300</v>
      </c>
      <c r="K8" s="319">
        <f>SUM(K9:K11)</f>
        <v>1354930</v>
      </c>
      <c r="L8" s="153">
        <f>SUM(L9:L11)</f>
        <v>0</v>
      </c>
      <c r="M8" s="503">
        <f>SUM(M9:M11)</f>
        <v>1354930</v>
      </c>
      <c r="N8" s="538">
        <f t="shared" ref="N8:N29" si="0">IF(J8=0,"",M8/J8*100)</f>
        <v>103.01300083631111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1057300+1350+1500</f>
        <v>1060150</v>
      </c>
      <c r="J9" s="154">
        <f>1057300+1350+1500</f>
        <v>1060150</v>
      </c>
      <c r="K9" s="254">
        <f>1096600+1100+2*630+27370</f>
        <v>1126330</v>
      </c>
      <c r="L9" s="154">
        <v>0</v>
      </c>
      <c r="M9" s="504">
        <f>SUM(K9:L9)</f>
        <v>1126330</v>
      </c>
      <c r="N9" s="539">
        <f t="shared" si="0"/>
        <v>106.24251285195491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232900+2450+1800+45*400</f>
        <v>255150</v>
      </c>
      <c r="J10" s="154">
        <f>232900+2450+1800+45*400</f>
        <v>255150</v>
      </c>
      <c r="K10" s="254">
        <f>218350+5000+2450+2*1400</f>
        <v>228600</v>
      </c>
      <c r="L10" s="154">
        <v>0</v>
      </c>
      <c r="M10" s="504">
        <f t="shared" ref="M10" si="1">SUM(K10:L10)</f>
        <v>228600</v>
      </c>
      <c r="N10" s="539">
        <f t="shared" si="0"/>
        <v>89.594356261022924</v>
      </c>
      <c r="P10" s="44"/>
    </row>
    <row r="11" spans="2:16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116140</v>
      </c>
      <c r="J12" s="153">
        <f t="shared" si="2"/>
        <v>116140</v>
      </c>
      <c r="K12" s="319">
        <f t="shared" ref="K12" si="3">K13</f>
        <v>119560</v>
      </c>
      <c r="L12" s="153">
        <f t="shared" ref="L12:M12" si="4">L13</f>
        <v>0</v>
      </c>
      <c r="M12" s="503">
        <f t="shared" si="4"/>
        <v>119560</v>
      </c>
      <c r="N12" s="538">
        <f t="shared" si="0"/>
        <v>102.94472188737731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115350+390+400</f>
        <v>116140</v>
      </c>
      <c r="J13" s="154">
        <f>115350+390+400</f>
        <v>116140</v>
      </c>
      <c r="K13" s="254">
        <f>115700+390+2*230+3010</f>
        <v>119560</v>
      </c>
      <c r="L13" s="154">
        <v>0</v>
      </c>
      <c r="M13" s="504">
        <f>SUM(K13:L13)</f>
        <v>119560</v>
      </c>
      <c r="N13" s="539">
        <f t="shared" si="0"/>
        <v>102.94472188737731</v>
      </c>
    </row>
    <row r="14" spans="2:16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188400</v>
      </c>
      <c r="J15" s="155">
        <f>SUM(J16:J24)</f>
        <v>188400</v>
      </c>
      <c r="K15" s="320">
        <f>SUM(K16:K24)</f>
        <v>198160</v>
      </c>
      <c r="L15" s="155">
        <f>SUM(L16:L24)</f>
        <v>0</v>
      </c>
      <c r="M15" s="476">
        <f>SUM(M16:M24)</f>
        <v>198160</v>
      </c>
      <c r="N15" s="538">
        <f t="shared" si="0"/>
        <v>105.18046709129511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6500</v>
      </c>
      <c r="J16" s="154">
        <v>6500</v>
      </c>
      <c r="K16" s="254">
        <v>6500</v>
      </c>
      <c r="L16" s="154">
        <v>0</v>
      </c>
      <c r="M16" s="504">
        <f t="shared" ref="M16:M24" si="5">SUM(K16:L16)</f>
        <v>6500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90000</v>
      </c>
      <c r="J17" s="154">
        <v>90000</v>
      </c>
      <c r="K17" s="254">
        <v>100000</v>
      </c>
      <c r="L17" s="154">
        <v>0</v>
      </c>
      <c r="M17" s="504">
        <f t="shared" si="5"/>
        <v>100000</v>
      </c>
      <c r="N17" s="539">
        <f t="shared" si="0"/>
        <v>111.11111111111111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22000</v>
      </c>
      <c r="J18" s="154">
        <v>22000</v>
      </c>
      <c r="K18" s="254">
        <v>18000</v>
      </c>
      <c r="L18" s="154">
        <v>0</v>
      </c>
      <c r="M18" s="504">
        <f t="shared" si="5"/>
        <v>18000</v>
      </c>
      <c r="N18" s="539">
        <f t="shared" si="0"/>
        <v>81.818181818181827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20000</v>
      </c>
      <c r="J19" s="154">
        <v>20000</v>
      </c>
      <c r="K19" s="254">
        <v>20000</v>
      </c>
      <c r="L19" s="154">
        <v>0</v>
      </c>
      <c r="M19" s="504">
        <f t="shared" si="5"/>
        <v>20000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600</v>
      </c>
      <c r="J20" s="154">
        <v>600</v>
      </c>
      <c r="K20" s="254">
        <v>600</v>
      </c>
      <c r="L20" s="154">
        <v>0</v>
      </c>
      <c r="M20" s="504">
        <f t="shared" si="5"/>
        <v>600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5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30000</v>
      </c>
      <c r="J22" s="154">
        <v>30000</v>
      </c>
      <c r="K22" s="254">
        <v>30000</v>
      </c>
      <c r="L22" s="154">
        <v>0</v>
      </c>
      <c r="M22" s="504">
        <f t="shared" si="5"/>
        <v>30000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1300</v>
      </c>
      <c r="J23" s="154">
        <v>1300</v>
      </c>
      <c r="K23" s="254">
        <v>1100</v>
      </c>
      <c r="L23" s="154">
        <v>0</v>
      </c>
      <c r="M23" s="504">
        <f t="shared" si="5"/>
        <v>1100</v>
      </c>
      <c r="N23" s="539">
        <f t="shared" si="0"/>
        <v>84.615384615384613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18000</v>
      </c>
      <c r="J24" s="154">
        <v>18000</v>
      </c>
      <c r="K24" s="254">
        <f>18000+3960</f>
        <v>21960</v>
      </c>
      <c r="L24" s="154">
        <v>0</v>
      </c>
      <c r="M24" s="504">
        <f t="shared" si="5"/>
        <v>21960</v>
      </c>
      <c r="N24" s="539">
        <f t="shared" si="0"/>
        <v>122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6">SUM(I27:I28)</f>
        <v>20000</v>
      </c>
      <c r="J26" s="153">
        <f t="shared" si="6"/>
        <v>20000</v>
      </c>
      <c r="K26" s="319">
        <f t="shared" ref="K26:M26" si="7">SUM(K27:K28)</f>
        <v>20000</v>
      </c>
      <c r="L26" s="153">
        <f t="shared" si="7"/>
        <v>0</v>
      </c>
      <c r="M26" s="476">
        <f t="shared" si="7"/>
        <v>20000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10000</v>
      </c>
      <c r="J27" s="154">
        <v>10000</v>
      </c>
      <c r="K27" s="254">
        <v>10000</v>
      </c>
      <c r="L27" s="154">
        <v>0</v>
      </c>
      <c r="M27" s="504">
        <f t="shared" ref="M27:M28" si="8">SUM(K27:L27)</f>
        <v>10000</v>
      </c>
      <c r="N27" s="539">
        <f t="shared" si="0"/>
        <v>100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10000</v>
      </c>
      <c r="J28" s="154">
        <v>10000</v>
      </c>
      <c r="K28" s="254">
        <v>10000</v>
      </c>
      <c r="L28" s="154">
        <v>0</v>
      </c>
      <c r="M28" s="504">
        <f t="shared" si="8"/>
        <v>10000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838</v>
      </c>
      <c r="J30" s="269" t="s">
        <v>838</v>
      </c>
      <c r="K30" s="321" t="s">
        <v>779</v>
      </c>
      <c r="L30" s="269"/>
      <c r="M30" s="471" t="s">
        <v>779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1639840</v>
      </c>
      <c r="J31" s="14">
        <f>J8+J12+J15+J26</f>
        <v>1639840</v>
      </c>
      <c r="K31" s="262">
        <f>K8+K12+K15+K26</f>
        <v>1692650</v>
      </c>
      <c r="L31" s="14">
        <f>L8+L12+L15+L26</f>
        <v>0</v>
      </c>
      <c r="M31" s="476">
        <f>M8+M12+M15+M26</f>
        <v>1692650</v>
      </c>
      <c r="N31" s="538">
        <f>IF(J31=0,"",M31/J31*100)</f>
        <v>103.22043614011123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543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B1:K50"/>
  <sheetViews>
    <sheetView topLeftCell="A6" zoomScaleNormal="100" workbookViewId="0">
      <selection activeCell="F26" sqref="F26"/>
    </sheetView>
  </sheetViews>
  <sheetFormatPr defaultRowHeight="15" customHeight="1" x14ac:dyDescent="0.2"/>
  <cols>
    <col min="2" max="2" width="70.28515625" customWidth="1"/>
    <col min="3" max="3" width="13.140625" customWidth="1"/>
    <col min="4" max="5" width="18.7109375" customWidth="1"/>
    <col min="6" max="6" width="20.7109375" customWidth="1"/>
    <col min="7" max="7" width="9.28515625" customWidth="1"/>
    <col min="8" max="8" width="6.42578125" customWidth="1"/>
    <col min="10" max="11" width="15.7109375" customWidth="1"/>
    <col min="12" max="12" width="8.7109375" customWidth="1"/>
  </cols>
  <sheetData>
    <row r="1" spans="2:10" ht="15" customHeight="1" x14ac:dyDescent="0.2">
      <c r="B1" s="619" t="s">
        <v>805</v>
      </c>
      <c r="C1" s="619"/>
      <c r="D1" s="599"/>
      <c r="E1" s="599"/>
      <c r="F1" s="599"/>
    </row>
    <row r="2" spans="2:10" ht="15" customHeight="1" x14ac:dyDescent="0.2">
      <c r="B2" s="599"/>
      <c r="C2" s="599"/>
      <c r="D2" s="599"/>
      <c r="E2" s="599"/>
      <c r="F2" s="599"/>
    </row>
    <row r="3" spans="2:10" ht="12" customHeight="1" x14ac:dyDescent="0.2">
      <c r="B3" s="599"/>
      <c r="C3" s="599"/>
      <c r="D3" s="599"/>
      <c r="E3" s="599"/>
      <c r="F3" s="599"/>
    </row>
    <row r="4" spans="2:10" ht="9" hidden="1" customHeight="1" x14ac:dyDescent="0.2">
      <c r="B4" s="599"/>
      <c r="C4" s="599"/>
      <c r="D4" s="599"/>
      <c r="E4" s="599"/>
      <c r="F4" s="599"/>
    </row>
    <row r="5" spans="2:10" ht="18.75" customHeight="1" x14ac:dyDescent="0.25">
      <c r="B5" s="620" t="s">
        <v>61</v>
      </c>
      <c r="C5" s="620"/>
      <c r="D5" s="620"/>
      <c r="E5" s="620"/>
      <c r="F5" s="620"/>
    </row>
    <row r="6" spans="2:10" ht="15" customHeight="1" x14ac:dyDescent="0.25">
      <c r="B6" s="621" t="s">
        <v>806</v>
      </c>
      <c r="C6" s="621"/>
      <c r="D6" s="621"/>
      <c r="E6" s="621"/>
      <c r="F6" s="621"/>
    </row>
    <row r="7" spans="2:10" ht="15" customHeight="1" x14ac:dyDescent="0.25">
      <c r="B7" s="67" t="s">
        <v>62</v>
      </c>
      <c r="C7" s="67"/>
      <c r="D7" s="38"/>
      <c r="E7" s="38"/>
    </row>
    <row r="8" spans="2:10" ht="6.75" customHeight="1" x14ac:dyDescent="0.2">
      <c r="B8" s="32"/>
      <c r="C8" s="32"/>
    </row>
    <row r="9" spans="2:10" ht="15" customHeight="1" x14ac:dyDescent="0.2">
      <c r="B9" s="32" t="s">
        <v>63</v>
      </c>
      <c r="C9" s="32"/>
    </row>
    <row r="10" spans="2:10" ht="17.25" customHeight="1" x14ac:dyDescent="0.2">
      <c r="B10" s="618" t="s">
        <v>807</v>
      </c>
      <c r="C10" s="622"/>
      <c r="D10" s="622"/>
      <c r="E10" s="622"/>
      <c r="F10" s="622"/>
      <c r="G10" s="599"/>
    </row>
    <row r="11" spans="2:10" ht="6.75" customHeight="1" x14ac:dyDescent="0.2">
      <c r="B11" s="32"/>
      <c r="C11" s="32"/>
    </row>
    <row r="12" spans="2:10" s="83" customFormat="1" ht="41.25" customHeight="1" x14ac:dyDescent="0.2">
      <c r="B12" s="181" t="s">
        <v>4</v>
      </c>
      <c r="C12" s="182" t="s">
        <v>64</v>
      </c>
      <c r="D12" s="182" t="s">
        <v>904</v>
      </c>
      <c r="E12" s="182" t="s">
        <v>808</v>
      </c>
      <c r="F12" s="220" t="s">
        <v>809</v>
      </c>
      <c r="G12" s="182" t="s">
        <v>65</v>
      </c>
    </row>
    <row r="13" spans="2:10" s="228" customFormat="1" ht="10.5" customHeight="1" x14ac:dyDescent="0.2">
      <c r="B13" s="229">
        <v>1</v>
      </c>
      <c r="C13" s="229"/>
      <c r="D13" s="230">
        <v>2</v>
      </c>
      <c r="E13" s="230">
        <v>3</v>
      </c>
      <c r="F13" s="230">
        <v>5</v>
      </c>
      <c r="G13" s="229" t="s">
        <v>66</v>
      </c>
    </row>
    <row r="14" spans="2:10" s="83" customFormat="1" ht="14.1" customHeight="1" x14ac:dyDescent="0.2">
      <c r="B14" s="183" t="s">
        <v>67</v>
      </c>
      <c r="C14" s="183"/>
      <c r="D14" s="184">
        <f>D15+D16+D17+D18+D19</f>
        <v>71622480</v>
      </c>
      <c r="E14" s="184">
        <f>E15+E16+E17+E18+E19</f>
        <v>71622480</v>
      </c>
      <c r="F14" s="221">
        <f>F15+F16+F17+F18+F19</f>
        <v>72458350</v>
      </c>
      <c r="G14" s="185">
        <f t="shared" ref="G14:G38" si="0">IF(E14=0,,F14/E14*100)</f>
        <v>101.16704978660331</v>
      </c>
      <c r="J14" s="219"/>
    </row>
    <row r="15" spans="2:10" s="83" customFormat="1" ht="12.95" customHeight="1" x14ac:dyDescent="0.2">
      <c r="B15" s="186" t="s">
        <v>68</v>
      </c>
      <c r="C15" s="187">
        <v>710</v>
      </c>
      <c r="D15" s="188">
        <f>Prihodi!D5</f>
        <v>56961162</v>
      </c>
      <c r="E15" s="188">
        <f>Prihodi!E5</f>
        <v>56961162</v>
      </c>
      <c r="F15" s="178">
        <f>Prihodi!F5</f>
        <v>60755330</v>
      </c>
      <c r="G15" s="189">
        <f t="shared" si="0"/>
        <v>106.66097366482799</v>
      </c>
      <c r="I15" s="598"/>
      <c r="J15" s="598"/>
    </row>
    <row r="16" spans="2:10" s="83" customFormat="1" ht="12.95" customHeight="1" x14ac:dyDescent="0.2">
      <c r="B16" s="186" t="s">
        <v>69</v>
      </c>
      <c r="C16" s="187">
        <v>720</v>
      </c>
      <c r="D16" s="188">
        <f>Prihodi!D62</f>
        <v>3898134</v>
      </c>
      <c r="E16" s="188">
        <f>Prihodi!E62</f>
        <v>3898134</v>
      </c>
      <c r="F16" s="178">
        <f>Prihodi!F62</f>
        <v>3650750</v>
      </c>
      <c r="G16" s="189">
        <f t="shared" si="0"/>
        <v>93.653784092594051</v>
      </c>
      <c r="I16" s="598"/>
      <c r="J16" s="598"/>
    </row>
    <row r="17" spans="2:11" s="83" customFormat="1" ht="12.95" customHeight="1" x14ac:dyDescent="0.2">
      <c r="B17" s="186" t="s">
        <v>70</v>
      </c>
      <c r="C17" s="187">
        <v>730</v>
      </c>
      <c r="D17" s="188">
        <f>Prihodi!D183</f>
        <v>7892901</v>
      </c>
      <c r="E17" s="188">
        <f>Prihodi!E183</f>
        <v>7892901</v>
      </c>
      <c r="F17" s="178">
        <f>Prihodi!F183</f>
        <v>7609320</v>
      </c>
      <c r="G17" s="189">
        <f t="shared" si="0"/>
        <v>96.407138515990511</v>
      </c>
      <c r="I17" s="219"/>
      <c r="J17" s="219"/>
      <c r="K17" s="219"/>
    </row>
    <row r="18" spans="2:11" s="83" customFormat="1" ht="12.95" customHeight="1" x14ac:dyDescent="0.2">
      <c r="B18" s="186" t="s">
        <v>71</v>
      </c>
      <c r="C18" s="187">
        <v>740</v>
      </c>
      <c r="D18" s="188">
        <f>Prihodi!D212</f>
        <v>2869073</v>
      </c>
      <c r="E18" s="188">
        <f>Prihodi!E212</f>
        <v>2869073</v>
      </c>
      <c r="F18" s="178">
        <f>Prihodi!F212</f>
        <v>441700</v>
      </c>
      <c r="G18" s="189">
        <f t="shared" si="0"/>
        <v>15.395216503727859</v>
      </c>
      <c r="I18" s="219"/>
      <c r="J18" s="219"/>
      <c r="K18" s="598"/>
    </row>
    <row r="19" spans="2:11" s="83" customFormat="1" ht="12.95" customHeight="1" x14ac:dyDescent="0.2">
      <c r="B19" s="186" t="s">
        <v>72</v>
      </c>
      <c r="C19" s="187">
        <v>770</v>
      </c>
      <c r="D19" s="188">
        <f>Prihodi!D245</f>
        <v>1210</v>
      </c>
      <c r="E19" s="188">
        <f>Prihodi!E245</f>
        <v>1210</v>
      </c>
      <c r="F19" s="178">
        <f>Prihodi!F245</f>
        <v>1250</v>
      </c>
      <c r="G19" s="189">
        <f t="shared" si="0"/>
        <v>103.30578512396693</v>
      </c>
      <c r="I19" s="219"/>
      <c r="J19" s="219"/>
      <c r="K19" s="598"/>
    </row>
    <row r="20" spans="2:11" s="83" customFormat="1" ht="14.1" customHeight="1" x14ac:dyDescent="0.2">
      <c r="B20" s="194" t="s">
        <v>73</v>
      </c>
      <c r="C20" s="195"/>
      <c r="D20" s="196">
        <f>SUM(D21:D27)</f>
        <v>64231820</v>
      </c>
      <c r="E20" s="196">
        <f>SUM(E21:E27)</f>
        <v>64231820</v>
      </c>
      <c r="F20" s="222">
        <f>SUM(F21:F27)</f>
        <v>65673280</v>
      </c>
      <c r="G20" s="197">
        <f t="shared" si="0"/>
        <v>102.2441525088344</v>
      </c>
      <c r="I20" s="219"/>
      <c r="J20" s="219"/>
    </row>
    <row r="21" spans="2:11" s="198" customFormat="1" ht="12.95" customHeight="1" x14ac:dyDescent="0.2">
      <c r="B21" s="190" t="s">
        <v>74</v>
      </c>
      <c r="C21" s="191">
        <v>600</v>
      </c>
      <c r="D21" s="188">
        <f>Rashodi!F9</f>
        <v>660000</v>
      </c>
      <c r="E21" s="188">
        <f>Rashodi!G9</f>
        <v>660000</v>
      </c>
      <c r="F21" s="178">
        <f>Rashodi!J9</f>
        <v>580000</v>
      </c>
      <c r="G21" s="193">
        <f t="shared" si="0"/>
        <v>87.878787878787875</v>
      </c>
      <c r="I21" s="219"/>
      <c r="J21" s="598"/>
    </row>
    <row r="22" spans="2:11" s="198" customFormat="1" ht="12.95" customHeight="1" x14ac:dyDescent="0.2">
      <c r="B22" s="190" t="s">
        <v>75</v>
      </c>
      <c r="C22" s="191">
        <v>611</v>
      </c>
      <c r="D22" s="188">
        <f>Rashodi!F15</f>
        <v>34642440</v>
      </c>
      <c r="E22" s="188">
        <f>Rashodi!G15</f>
        <v>34642440</v>
      </c>
      <c r="F22" s="178">
        <f>Rashodi!J15</f>
        <v>35883240</v>
      </c>
      <c r="G22" s="193">
        <f t="shared" si="0"/>
        <v>103.58173385015606</v>
      </c>
      <c r="I22" s="219"/>
      <c r="J22" s="219"/>
    </row>
    <row r="23" spans="2:11" s="83" customFormat="1" ht="12.95" customHeight="1" x14ac:dyDescent="0.2">
      <c r="B23" s="190" t="s">
        <v>76</v>
      </c>
      <c r="C23" s="191">
        <v>612</v>
      </c>
      <c r="D23" s="192">
        <f>Rashodi!F21</f>
        <v>3444220</v>
      </c>
      <c r="E23" s="192">
        <f>Rashodi!G21</f>
        <v>3444220</v>
      </c>
      <c r="F23" s="179">
        <f>Rashodi!J21</f>
        <v>3558940</v>
      </c>
      <c r="G23" s="193">
        <f t="shared" si="0"/>
        <v>103.3307976842362</v>
      </c>
      <c r="I23" s="219"/>
      <c r="J23" s="219"/>
    </row>
    <row r="24" spans="2:11" s="83" customFormat="1" ht="12.95" customHeight="1" x14ac:dyDescent="0.2">
      <c r="B24" s="190" t="s">
        <v>77</v>
      </c>
      <c r="C24" s="191">
        <v>613</v>
      </c>
      <c r="D24" s="192">
        <f>Rashodi!F26</f>
        <v>7026150</v>
      </c>
      <c r="E24" s="192">
        <f>Rashodi!G26</f>
        <v>7026150</v>
      </c>
      <c r="F24" s="179">
        <f>Rashodi!J26</f>
        <v>7264300</v>
      </c>
      <c r="G24" s="193">
        <f t="shared" si="0"/>
        <v>103.38948072557517</v>
      </c>
      <c r="I24" s="219"/>
      <c r="J24" s="219"/>
    </row>
    <row r="25" spans="2:11" s="83" customFormat="1" ht="12.95" customHeight="1" x14ac:dyDescent="0.2">
      <c r="B25" s="190" t="s">
        <v>78</v>
      </c>
      <c r="C25" s="191">
        <v>614</v>
      </c>
      <c r="D25" s="192">
        <f>Rashodi!F52</f>
        <v>16693500</v>
      </c>
      <c r="E25" s="192">
        <f>Rashodi!G52</f>
        <v>16693500</v>
      </c>
      <c r="F25" s="179">
        <f>Rashodi!J52</f>
        <v>16662470</v>
      </c>
      <c r="G25" s="193">
        <f t="shared" si="0"/>
        <v>99.814119267978555</v>
      </c>
      <c r="I25" s="219"/>
      <c r="J25" s="219"/>
    </row>
    <row r="26" spans="2:11" s="83" customFormat="1" ht="12.95" customHeight="1" x14ac:dyDescent="0.2">
      <c r="B26" s="190" t="s">
        <v>79</v>
      </c>
      <c r="C26" s="191">
        <v>615</v>
      </c>
      <c r="D26" s="192">
        <f>Rashodi!F93</f>
        <v>1750000</v>
      </c>
      <c r="E26" s="192">
        <f>Rashodi!G93</f>
        <v>1750000</v>
      </c>
      <c r="F26" s="179">
        <f>Rashodi!J93</f>
        <v>1710000</v>
      </c>
      <c r="G26" s="193">
        <f t="shared" si="0"/>
        <v>97.714285714285708</v>
      </c>
      <c r="I26" s="219"/>
      <c r="J26" s="219"/>
    </row>
    <row r="27" spans="2:11" s="83" customFormat="1" ht="12.95" customHeight="1" thickBot="1" x14ac:dyDescent="0.25">
      <c r="B27" s="199" t="s">
        <v>80</v>
      </c>
      <c r="C27" s="200">
        <v>616</v>
      </c>
      <c r="D27" s="201">
        <f>Rashodi!F101</f>
        <v>15510</v>
      </c>
      <c r="E27" s="201">
        <f>Rashodi!G101</f>
        <v>15510</v>
      </c>
      <c r="F27" s="180">
        <f>Rashodi!J101</f>
        <v>14330</v>
      </c>
      <c r="G27" s="202">
        <f t="shared" si="0"/>
        <v>92.392005157962615</v>
      </c>
      <c r="I27" s="219"/>
      <c r="J27" s="219"/>
    </row>
    <row r="28" spans="2:11" s="83" customFormat="1" ht="14.1" customHeight="1" thickTop="1" thickBot="1" x14ac:dyDescent="0.25">
      <c r="B28" s="203" t="s">
        <v>81</v>
      </c>
      <c r="C28" s="204"/>
      <c r="D28" s="205">
        <f>D14-D20</f>
        <v>7390660</v>
      </c>
      <c r="E28" s="205">
        <f>E14-E20</f>
        <v>7390660</v>
      </c>
      <c r="F28" s="223">
        <f>F14-F20</f>
        <v>6785070</v>
      </c>
      <c r="G28" s="206">
        <f t="shared" si="0"/>
        <v>91.806009206214327</v>
      </c>
      <c r="I28" s="219"/>
      <c r="J28" s="219"/>
    </row>
    <row r="29" spans="2:11" s="83" customFormat="1" ht="14.1" customHeight="1" thickTop="1" x14ac:dyDescent="0.2">
      <c r="B29" s="194" t="s">
        <v>82</v>
      </c>
      <c r="C29" s="195">
        <v>811</v>
      </c>
      <c r="D29" s="196">
        <f>Prihodi!D251</f>
        <v>0</v>
      </c>
      <c r="E29" s="196">
        <f>Prihodi!E251</f>
        <v>0</v>
      </c>
      <c r="F29" s="222">
        <f>Prihodi!F251</f>
        <v>0</v>
      </c>
      <c r="G29" s="197">
        <f t="shared" si="0"/>
        <v>0</v>
      </c>
      <c r="I29" s="219"/>
      <c r="J29" s="219"/>
    </row>
    <row r="30" spans="2:11" s="83" customFormat="1" ht="14.1" customHeight="1" x14ac:dyDescent="0.2">
      <c r="B30" s="194" t="s">
        <v>83</v>
      </c>
      <c r="C30" s="195">
        <v>821</v>
      </c>
      <c r="D30" s="196">
        <f>D31</f>
        <v>7377960</v>
      </c>
      <c r="E30" s="196">
        <f>E31</f>
        <v>7377960</v>
      </c>
      <c r="F30" s="222">
        <f>F31</f>
        <v>6266200</v>
      </c>
      <c r="G30" s="197">
        <f t="shared" si="0"/>
        <v>84.931336033266646</v>
      </c>
      <c r="I30" s="219"/>
      <c r="J30" s="219"/>
    </row>
    <row r="31" spans="2:11" s="83" customFormat="1" ht="12.95" customHeight="1" thickBot="1" x14ac:dyDescent="0.25">
      <c r="B31" s="190" t="s">
        <v>84</v>
      </c>
      <c r="C31" s="191">
        <v>821</v>
      </c>
      <c r="D31" s="192">
        <f>Rashodi!F105</f>
        <v>7377960</v>
      </c>
      <c r="E31" s="192">
        <f>Rashodi!G105</f>
        <v>7377960</v>
      </c>
      <c r="F31" s="179">
        <f>Rashodi!J105</f>
        <v>6266200</v>
      </c>
      <c r="G31" s="193">
        <f t="shared" si="0"/>
        <v>84.931336033266646</v>
      </c>
      <c r="I31" s="219"/>
      <c r="J31" s="598"/>
    </row>
    <row r="32" spans="2:11" s="83" customFormat="1" ht="14.1" customHeight="1" thickTop="1" thickBot="1" x14ac:dyDescent="0.25">
      <c r="B32" s="207" t="s">
        <v>85</v>
      </c>
      <c r="C32" s="208"/>
      <c r="D32" s="209">
        <f>D29-D30</f>
        <v>-7377960</v>
      </c>
      <c r="E32" s="209">
        <f>E29-E30</f>
        <v>-7377960</v>
      </c>
      <c r="F32" s="224">
        <f>F29-F30</f>
        <v>-6266200</v>
      </c>
      <c r="G32" s="210">
        <f t="shared" si="0"/>
        <v>84.931336033266646</v>
      </c>
      <c r="I32" s="219"/>
      <c r="J32" s="219"/>
    </row>
    <row r="33" spans="2:10" s="83" customFormat="1" ht="19.5" customHeight="1" thickTop="1" thickBot="1" x14ac:dyDescent="0.25">
      <c r="B33" s="203" t="s">
        <v>86</v>
      </c>
      <c r="C33" s="204"/>
      <c r="D33" s="211">
        <f>D28+D32</f>
        <v>12700</v>
      </c>
      <c r="E33" s="211">
        <f>E28+E32</f>
        <v>12700</v>
      </c>
      <c r="F33" s="225">
        <f>F28+F32</f>
        <v>518870</v>
      </c>
      <c r="G33" s="206">
        <f t="shared" si="0"/>
        <v>4085.5905511811025</v>
      </c>
      <c r="I33" s="219"/>
      <c r="J33" s="219"/>
    </row>
    <row r="34" spans="2:10" s="83" customFormat="1" ht="14.1" customHeight="1" thickTop="1" x14ac:dyDescent="0.2">
      <c r="B34" s="194" t="s">
        <v>87</v>
      </c>
      <c r="C34" s="195" t="s">
        <v>88</v>
      </c>
      <c r="D34" s="196">
        <f>0</f>
        <v>0</v>
      </c>
      <c r="E34" s="196">
        <f>0</f>
        <v>0</v>
      </c>
      <c r="F34" s="222">
        <f>0</f>
        <v>0</v>
      </c>
      <c r="G34" s="197">
        <f t="shared" si="0"/>
        <v>0</v>
      </c>
      <c r="I34" s="219"/>
      <c r="J34" s="219"/>
    </row>
    <row r="35" spans="2:10" s="83" customFormat="1" ht="14.1" customHeight="1" x14ac:dyDescent="0.2">
      <c r="B35" s="212" t="s">
        <v>89</v>
      </c>
      <c r="C35" s="213" t="s">
        <v>90</v>
      </c>
      <c r="D35" s="214">
        <f>D36</f>
        <v>510020</v>
      </c>
      <c r="E35" s="214">
        <f>E36</f>
        <v>510020</v>
      </c>
      <c r="F35" s="226">
        <f>F36</f>
        <v>518870</v>
      </c>
      <c r="G35" s="197">
        <f t="shared" si="0"/>
        <v>101.73522606956591</v>
      </c>
      <c r="I35" s="219"/>
      <c r="J35" s="219"/>
    </row>
    <row r="36" spans="2:10" s="83" customFormat="1" ht="12.95" customHeight="1" thickBot="1" x14ac:dyDescent="0.25">
      <c r="B36" s="190" t="s">
        <v>91</v>
      </c>
      <c r="C36" s="191">
        <v>823</v>
      </c>
      <c r="D36" s="192">
        <f>Rashodi!F114</f>
        <v>510020</v>
      </c>
      <c r="E36" s="192">
        <f>Rashodi!G114</f>
        <v>510020</v>
      </c>
      <c r="F36" s="179">
        <f>Rashodi!J114</f>
        <v>518870</v>
      </c>
      <c r="G36" s="193">
        <f t="shared" si="0"/>
        <v>101.73522606956591</v>
      </c>
      <c r="I36" s="219"/>
      <c r="J36" s="219"/>
    </row>
    <row r="37" spans="2:10" s="83" customFormat="1" ht="14.1" customHeight="1" thickTop="1" thickBot="1" x14ac:dyDescent="0.25">
      <c r="B37" s="207" t="s">
        <v>92</v>
      </c>
      <c r="C37" s="208"/>
      <c r="D37" s="209">
        <f>D34-D35</f>
        <v>-510020</v>
      </c>
      <c r="E37" s="209">
        <f>E34-E35</f>
        <v>-510020</v>
      </c>
      <c r="F37" s="224">
        <f>F34-F35</f>
        <v>-518870</v>
      </c>
      <c r="G37" s="210">
        <f t="shared" si="0"/>
        <v>101.73522606956591</v>
      </c>
      <c r="I37" s="219"/>
      <c r="J37" s="219"/>
    </row>
    <row r="38" spans="2:10" s="83" customFormat="1" ht="14.1" customHeight="1" thickTop="1" thickBot="1" x14ac:dyDescent="0.25">
      <c r="B38" s="207" t="s">
        <v>93</v>
      </c>
      <c r="C38" s="208"/>
      <c r="D38" s="209">
        <f>D33+D37</f>
        <v>-497320</v>
      </c>
      <c r="E38" s="209">
        <f>E33+E37</f>
        <v>-497320</v>
      </c>
      <c r="F38" s="224">
        <f>F33+F37</f>
        <v>0</v>
      </c>
      <c r="G38" s="547">
        <f t="shared" si="0"/>
        <v>0</v>
      </c>
      <c r="I38" s="219"/>
      <c r="J38" s="219"/>
    </row>
    <row r="39" spans="2:10" s="83" customFormat="1" ht="14.1" customHeight="1" thickTop="1" thickBot="1" x14ac:dyDescent="0.25">
      <c r="B39" s="207" t="s">
        <v>771</v>
      </c>
      <c r="C39" s="208"/>
      <c r="D39" s="209">
        <v>497320</v>
      </c>
      <c r="E39" s="209">
        <v>497320</v>
      </c>
      <c r="F39" s="224"/>
      <c r="G39" s="547"/>
      <c r="I39" s="219"/>
      <c r="J39" s="219"/>
    </row>
    <row r="40" spans="2:10" s="83" customFormat="1" ht="9" customHeight="1" thickTop="1" x14ac:dyDescent="0.2">
      <c r="B40" s="215"/>
      <c r="C40" s="216"/>
      <c r="D40" s="217"/>
      <c r="E40" s="217"/>
      <c r="F40" s="227"/>
      <c r="G40" s="218"/>
      <c r="J40" s="219"/>
    </row>
    <row r="41" spans="2:10" s="83" customFormat="1" ht="15.75" customHeight="1" x14ac:dyDescent="0.2">
      <c r="B41" s="212" t="s">
        <v>797</v>
      </c>
      <c r="C41" s="195"/>
      <c r="D41" s="556">
        <f>D14+D29+D34+D39</f>
        <v>72119800</v>
      </c>
      <c r="E41" s="556">
        <f t="shared" ref="E41:F41" si="1">E14+E29+E34+E39</f>
        <v>72119800</v>
      </c>
      <c r="F41" s="557">
        <f t="shared" si="1"/>
        <v>72458350</v>
      </c>
      <c r="G41" s="197">
        <f>IF(E41=0,,F41/E41*100)</f>
        <v>100.46942725853371</v>
      </c>
      <c r="I41" s="219"/>
      <c r="J41" s="219"/>
    </row>
    <row r="42" spans="2:10" s="83" customFormat="1" ht="14.1" customHeight="1" x14ac:dyDescent="0.2">
      <c r="B42" s="194" t="s">
        <v>94</v>
      </c>
      <c r="C42" s="195"/>
      <c r="D42" s="196">
        <f>D20+D30+D35</f>
        <v>72119800</v>
      </c>
      <c r="E42" s="196">
        <f>E20+E30+E35</f>
        <v>72119800</v>
      </c>
      <c r="F42" s="222">
        <f>F20+F30+F35</f>
        <v>72458350</v>
      </c>
      <c r="G42" s="197">
        <f>IF(E42=0,,F42/E42*100)</f>
        <v>100.46942725853371</v>
      </c>
      <c r="I42" s="219"/>
      <c r="J42" s="219"/>
    </row>
    <row r="43" spans="2:10" s="83" customFormat="1" ht="14.1" customHeight="1" x14ac:dyDescent="0.2">
      <c r="B43" s="194" t="s">
        <v>95</v>
      </c>
      <c r="C43" s="195"/>
      <c r="D43" s="196">
        <f>D41-D42</f>
        <v>0</v>
      </c>
      <c r="E43" s="196">
        <f>E41-E42</f>
        <v>0</v>
      </c>
      <c r="F43" s="222">
        <f>F41-F42</f>
        <v>0</v>
      </c>
      <c r="G43" s="546">
        <f>IF(E43=0,,F43/E43*100)</f>
        <v>0</v>
      </c>
      <c r="J43" s="219"/>
    </row>
    <row r="44" spans="2:10" ht="7.5" customHeight="1" x14ac:dyDescent="0.2">
      <c r="B44" s="38"/>
      <c r="C44" s="38"/>
      <c r="D44" s="94"/>
      <c r="E44" s="94"/>
      <c r="F44" s="94"/>
      <c r="G44" s="95"/>
    </row>
    <row r="45" spans="2:10" ht="15" customHeight="1" x14ac:dyDescent="0.2">
      <c r="B45" s="32" t="s">
        <v>96</v>
      </c>
      <c r="C45" s="32"/>
      <c r="E45" s="247"/>
    </row>
    <row r="46" spans="2:10" ht="4.5" customHeight="1" x14ac:dyDescent="0.2"/>
    <row r="47" spans="2:10" ht="15.75" customHeight="1" x14ac:dyDescent="0.2">
      <c r="B47" s="618" t="s">
        <v>810</v>
      </c>
      <c r="C47" s="618"/>
      <c r="D47" s="618"/>
      <c r="E47" s="618"/>
      <c r="F47" s="618"/>
      <c r="G47" s="618"/>
    </row>
    <row r="48" spans="2:10" ht="4.5" customHeight="1" x14ac:dyDescent="0.2">
      <c r="F48" s="110"/>
    </row>
    <row r="49" spans="2:8" ht="15.75" customHeight="1" x14ac:dyDescent="0.2">
      <c r="B49" s="618"/>
      <c r="C49" s="618"/>
      <c r="D49" s="618"/>
      <c r="E49" s="618"/>
      <c r="F49" s="618"/>
      <c r="G49" s="618"/>
      <c r="H49" s="618"/>
    </row>
    <row r="50" spans="2:8" ht="15" customHeight="1" x14ac:dyDescent="0.2">
      <c r="B50" s="32"/>
      <c r="C50" s="32"/>
    </row>
  </sheetData>
  <mergeCells count="6">
    <mergeCell ref="B49:H49"/>
    <mergeCell ref="B47:G47"/>
    <mergeCell ref="B1:F4"/>
    <mergeCell ref="B5:F5"/>
    <mergeCell ref="B6:F6"/>
    <mergeCell ref="B10:G10"/>
  </mergeCells>
  <phoneticPr fontId="0" type="noConversion"/>
  <pageMargins left="1.0236220472440944" right="0.31496062992125984" top="0.55118110236220474" bottom="0.51181102362204722" header="0.51181102362204722" footer="0.31496062992125984"/>
  <pageSetup paperSize="9" scale="82" orientation="landscape" r:id="rId1"/>
  <headerFooter alignWithMargins="0">
    <oddFooter>&amp;R&amp;P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3"/>
  <dimension ref="B1:N93"/>
  <sheetViews>
    <sheetView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5" width="9.140625" style="9"/>
    <col min="16" max="16" width="9.5703125" style="9" bestFit="1" customWidth="1"/>
    <col min="17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542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527</v>
      </c>
      <c r="C7" s="7" t="s">
        <v>484</v>
      </c>
      <c r="D7" s="7" t="s">
        <v>469</v>
      </c>
      <c r="E7" s="286" t="s">
        <v>721</v>
      </c>
      <c r="F7" s="5"/>
      <c r="G7" s="5"/>
      <c r="H7" s="5"/>
      <c r="I7" s="258"/>
      <c r="J7" s="5"/>
      <c r="K7" s="4"/>
      <c r="L7" s="5"/>
      <c r="M7" s="502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1187920</v>
      </c>
      <c r="J8" s="153">
        <f>SUM(J9:J11)</f>
        <v>1187920</v>
      </c>
      <c r="K8" s="319">
        <f>SUM(K9:K11)</f>
        <v>1278630</v>
      </c>
      <c r="L8" s="153">
        <f>SUM(L9:L11)</f>
        <v>0</v>
      </c>
      <c r="M8" s="503">
        <f>SUM(M9:M11)</f>
        <v>1278630</v>
      </c>
      <c r="N8" s="538">
        <f t="shared" ref="N8:N29" si="0">IF(J8=0,"",M8/J8*100)</f>
        <v>107.63603609670685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971320+800+7500</f>
        <v>979620</v>
      </c>
      <c r="J9" s="154">
        <f>971320+800+7500</f>
        <v>979620</v>
      </c>
      <c r="K9" s="254">
        <f>1037500+1100+25920</f>
        <v>1064520</v>
      </c>
      <c r="L9" s="154">
        <v>0</v>
      </c>
      <c r="M9" s="504">
        <f>SUM(K9:L9)</f>
        <v>1064520</v>
      </c>
      <c r="N9" s="539">
        <f t="shared" si="0"/>
        <v>108.66662583450726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189400+1400+1500+40*400</f>
        <v>208300</v>
      </c>
      <c r="J10" s="154">
        <f>189400+1400+1500+40*400</f>
        <v>208300</v>
      </c>
      <c r="K10" s="254">
        <f>196960+14700+2450</f>
        <v>214110</v>
      </c>
      <c r="L10" s="154">
        <v>0</v>
      </c>
      <c r="M10" s="504">
        <f t="shared" ref="M10" si="1">SUM(K10:L10)</f>
        <v>214110</v>
      </c>
      <c r="N10" s="539">
        <f t="shared" si="0"/>
        <v>102.78924627940471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105820</v>
      </c>
      <c r="J12" s="153">
        <f t="shared" si="2"/>
        <v>105820</v>
      </c>
      <c r="K12" s="319">
        <f>K13</f>
        <v>112350</v>
      </c>
      <c r="L12" s="153">
        <f>L13</f>
        <v>0</v>
      </c>
      <c r="M12" s="503">
        <f>M13</f>
        <v>112350</v>
      </c>
      <c r="N12" s="538">
        <f t="shared" si="0"/>
        <v>106.17085617085618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104780+220+820</f>
        <v>105820</v>
      </c>
      <c r="J13" s="154">
        <f>104780+220+820</f>
        <v>105820</v>
      </c>
      <c r="K13" s="254">
        <f>109100+390+2860</f>
        <v>112350</v>
      </c>
      <c r="L13" s="154">
        <v>0</v>
      </c>
      <c r="M13" s="504">
        <f>SUM(K13:L13)</f>
        <v>112350</v>
      </c>
      <c r="N13" s="539">
        <f t="shared" si="0"/>
        <v>106.17085617085618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195000</v>
      </c>
      <c r="J15" s="155">
        <f>SUM(J16:J24)</f>
        <v>195000</v>
      </c>
      <c r="K15" s="320">
        <f>SUM(K16:K24)</f>
        <v>194600</v>
      </c>
      <c r="L15" s="155">
        <f>SUM(L16:L24)</f>
        <v>0</v>
      </c>
      <c r="M15" s="476">
        <f>SUM(M16:M24)</f>
        <v>194600</v>
      </c>
      <c r="N15" s="538">
        <f t="shared" si="0"/>
        <v>99.794871794871796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5500</v>
      </c>
      <c r="J16" s="154">
        <v>5500</v>
      </c>
      <c r="K16" s="254">
        <v>5500</v>
      </c>
      <c r="L16" s="154">
        <v>0</v>
      </c>
      <c r="M16" s="504">
        <f t="shared" ref="M16:M24" si="3">SUM(K16:L16)</f>
        <v>5500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60000</v>
      </c>
      <c r="J17" s="154">
        <v>60000</v>
      </c>
      <c r="K17" s="254">
        <v>70000</v>
      </c>
      <c r="L17" s="154">
        <v>0</v>
      </c>
      <c r="M17" s="504">
        <f t="shared" si="3"/>
        <v>70000</v>
      </c>
      <c r="N17" s="539">
        <f t="shared" si="0"/>
        <v>116.66666666666667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9000</v>
      </c>
      <c r="J18" s="154">
        <v>9000</v>
      </c>
      <c r="K18" s="254">
        <v>10000</v>
      </c>
      <c r="L18" s="154">
        <v>0</v>
      </c>
      <c r="M18" s="504">
        <f t="shared" si="3"/>
        <v>10000</v>
      </c>
      <c r="N18" s="539">
        <f t="shared" si="0"/>
        <v>111.11111111111111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20000</v>
      </c>
      <c r="J19" s="154">
        <v>20000</v>
      </c>
      <c r="K19" s="254">
        <v>20000</v>
      </c>
      <c r="L19" s="154">
        <v>0</v>
      </c>
      <c r="M19" s="504">
        <f t="shared" si="3"/>
        <v>20000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4000</v>
      </c>
      <c r="J20" s="154">
        <v>4000</v>
      </c>
      <c r="K20" s="254">
        <v>4000</v>
      </c>
      <c r="L20" s="154">
        <v>0</v>
      </c>
      <c r="M20" s="504">
        <f t="shared" si="3"/>
        <v>4000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15000</v>
      </c>
      <c r="J22" s="154">
        <v>15000</v>
      </c>
      <c r="K22" s="254">
        <v>20000</v>
      </c>
      <c r="L22" s="154">
        <v>0</v>
      </c>
      <c r="M22" s="504">
        <f t="shared" si="3"/>
        <v>20000</v>
      </c>
      <c r="N22" s="539">
        <f t="shared" si="0"/>
        <v>133.33333333333331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1500</v>
      </c>
      <c r="J23" s="154">
        <v>1500</v>
      </c>
      <c r="K23" s="254">
        <v>1500</v>
      </c>
      <c r="L23" s="154">
        <v>0</v>
      </c>
      <c r="M23" s="504">
        <f t="shared" si="3"/>
        <v>1500</v>
      </c>
      <c r="N23" s="539">
        <f t="shared" si="0"/>
        <v>100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80000</v>
      </c>
      <c r="J24" s="154">
        <v>80000</v>
      </c>
      <c r="K24" s="255">
        <f>60000+3600</f>
        <v>63600</v>
      </c>
      <c r="L24" s="152">
        <v>0</v>
      </c>
      <c r="M24" s="504">
        <f t="shared" si="3"/>
        <v>63600</v>
      </c>
      <c r="N24" s="539">
        <f t="shared" si="0"/>
        <v>79.5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17000</v>
      </c>
      <c r="J26" s="153">
        <f t="shared" si="4"/>
        <v>17000</v>
      </c>
      <c r="K26" s="319">
        <f>SUM(K27:K28)</f>
        <v>10000</v>
      </c>
      <c r="L26" s="153">
        <f>SUM(L27:L28)</f>
        <v>0</v>
      </c>
      <c r="M26" s="476">
        <f>SUM(M27:M28)</f>
        <v>10000</v>
      </c>
      <c r="N26" s="538">
        <f t="shared" si="0"/>
        <v>58.82352941176471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15000</v>
      </c>
      <c r="J27" s="154">
        <v>15000</v>
      </c>
      <c r="K27" s="254">
        <v>0</v>
      </c>
      <c r="L27" s="154">
        <v>0</v>
      </c>
      <c r="M27" s="504">
        <f t="shared" ref="M27:M28" si="5">SUM(K27:L27)</f>
        <v>0</v>
      </c>
      <c r="N27" s="539">
        <f t="shared" si="0"/>
        <v>0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2000</v>
      </c>
      <c r="J28" s="154">
        <v>2000</v>
      </c>
      <c r="K28" s="254">
        <v>10000</v>
      </c>
      <c r="L28" s="154">
        <v>0</v>
      </c>
      <c r="M28" s="504">
        <f t="shared" si="5"/>
        <v>10000</v>
      </c>
      <c r="N28" s="539">
        <f t="shared" si="0"/>
        <v>500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839</v>
      </c>
      <c r="J30" s="269" t="s">
        <v>839</v>
      </c>
      <c r="K30" s="321" t="s">
        <v>839</v>
      </c>
      <c r="L30" s="269"/>
      <c r="M30" s="471" t="s">
        <v>839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1505740</v>
      </c>
      <c r="J31" s="14">
        <f>J8+J12+J15+J26</f>
        <v>1505740</v>
      </c>
      <c r="K31" s="262">
        <f>K8+K12+K15+K26</f>
        <v>1595580</v>
      </c>
      <c r="L31" s="14">
        <f>L8+L12+L15+L26</f>
        <v>0</v>
      </c>
      <c r="M31" s="476">
        <f>M8+M12+M15+M26</f>
        <v>1595580</v>
      </c>
      <c r="N31" s="538">
        <f>IF(J31=0,"",M31/J31*100)</f>
        <v>105.9665015208469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>I31+'23'!I31+'22'!I31</f>
        <v>4937450</v>
      </c>
      <c r="J32" s="14">
        <f>J31+'23'!J31+'22'!J31</f>
        <v>4937450</v>
      </c>
      <c r="K32" s="262">
        <f>K31+'23'!K31+'22'!K31</f>
        <v>5082470</v>
      </c>
      <c r="L32" s="14">
        <f>L31+'23'!L31+'22'!L31</f>
        <v>0</v>
      </c>
      <c r="M32" s="476">
        <f>M31+'23'!M31+'22'!M31</f>
        <v>5082470</v>
      </c>
      <c r="N32" s="538">
        <f>IF(J32=0,"",M32/J32*100)</f>
        <v>102.93714366727764</v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/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277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7.100000000000001" customHeight="1" x14ac:dyDescent="0.2">
      <c r="F57" s="124"/>
      <c r="G57" s="138"/>
      <c r="M57" s="161"/>
    </row>
    <row r="58" spans="6:13" ht="14.25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24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x14ac:dyDescent="0.2">
      <c r="G88" s="124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6"/>
  <dimension ref="B1:O94"/>
  <sheetViews>
    <sheetView zoomScaleNormal="100" zoomScaleSheetLayoutView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5" ht="13.5" thickBot="1" x14ac:dyDescent="0.25"/>
    <row r="2" spans="2:15" s="64" customFormat="1" ht="20.100000000000001" customHeight="1" thickTop="1" thickBot="1" x14ac:dyDescent="0.25">
      <c r="B2" s="649" t="s">
        <v>543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5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5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5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5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232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5" s="2" customFormat="1" ht="12.95" customHeight="1" x14ac:dyDescent="0.25">
      <c r="B7" s="6" t="s">
        <v>527</v>
      </c>
      <c r="C7" s="7" t="s">
        <v>544</v>
      </c>
      <c r="D7" s="7" t="s">
        <v>452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5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1764380</v>
      </c>
      <c r="J8" s="153">
        <f>SUM(J9:J11)</f>
        <v>1764380</v>
      </c>
      <c r="K8" s="319">
        <f>SUM(K9:K11)</f>
        <v>1847660</v>
      </c>
      <c r="L8" s="153">
        <f>SUM(L9:L11)</f>
        <v>0</v>
      </c>
      <c r="M8" s="503">
        <f>SUM(M9:M11)</f>
        <v>1847660</v>
      </c>
      <c r="N8" s="538">
        <f t="shared" ref="N8:N29" si="0">IF(J8=0,"",M8/J8*100)</f>
        <v>104.72007163989616</v>
      </c>
    </row>
    <row r="9" spans="2:15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1440430+2*1350+4500</f>
        <v>1447630</v>
      </c>
      <c r="J9" s="154">
        <f>1440430+2*1350+4500</f>
        <v>1447630</v>
      </c>
      <c r="K9" s="254">
        <f>1523500+1100+2*630+38090</f>
        <v>1563950</v>
      </c>
      <c r="L9" s="154">
        <v>0</v>
      </c>
      <c r="M9" s="504">
        <f>SUM(K9:L9)</f>
        <v>1563950</v>
      </c>
      <c r="N9" s="539">
        <f t="shared" si="0"/>
        <v>108.03520236524527</v>
      </c>
      <c r="O9" s="277"/>
    </row>
    <row r="10" spans="2:15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288250+2*2450+59*400</f>
        <v>316750</v>
      </c>
      <c r="J10" s="154">
        <f>288250+2*2450+59*400</f>
        <v>316750</v>
      </c>
      <c r="K10" s="254">
        <f>278460+2450+2*1400</f>
        <v>283710</v>
      </c>
      <c r="L10" s="154">
        <v>0</v>
      </c>
      <c r="M10" s="504">
        <f t="shared" ref="M10" si="1">SUM(K10:L10)</f>
        <v>283710</v>
      </c>
      <c r="N10" s="539">
        <f t="shared" si="0"/>
        <v>89.569060773480658</v>
      </c>
    </row>
    <row r="11" spans="2:15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5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154490</v>
      </c>
      <c r="J12" s="153">
        <f t="shared" si="2"/>
        <v>154490</v>
      </c>
      <c r="K12" s="319">
        <f>K13</f>
        <v>171240</v>
      </c>
      <c r="L12" s="153">
        <f>L13</f>
        <v>0</v>
      </c>
      <c r="M12" s="503">
        <f>M13</f>
        <v>171240</v>
      </c>
      <c r="N12" s="538">
        <f t="shared" si="0"/>
        <v>110.84212570392906</v>
      </c>
    </row>
    <row r="13" spans="2:15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153210+2*390+500</f>
        <v>154490</v>
      </c>
      <c r="J13" s="154">
        <f>153210+2*390+500</f>
        <v>154490</v>
      </c>
      <c r="K13" s="254">
        <f>166200+390+2*230+4190</f>
        <v>171240</v>
      </c>
      <c r="L13" s="154">
        <v>0</v>
      </c>
      <c r="M13" s="504">
        <f>SUM(K13:L13)</f>
        <v>171240</v>
      </c>
      <c r="N13" s="539">
        <f t="shared" si="0"/>
        <v>110.84212570392906</v>
      </c>
    </row>
    <row r="14" spans="2:15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5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123200</v>
      </c>
      <c r="J15" s="155">
        <f>SUM(J16:J24)</f>
        <v>123200</v>
      </c>
      <c r="K15" s="320">
        <f>SUM(K16:K24)</f>
        <v>139510</v>
      </c>
      <c r="L15" s="155">
        <f>SUM(L16:L24)</f>
        <v>0</v>
      </c>
      <c r="M15" s="476">
        <f>SUM(M16:M24)</f>
        <v>139510</v>
      </c>
      <c r="N15" s="538">
        <f t="shared" si="0"/>
        <v>113.23863636363636</v>
      </c>
    </row>
    <row r="16" spans="2:15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5500</v>
      </c>
      <c r="J16" s="154">
        <v>5500</v>
      </c>
      <c r="K16" s="254">
        <v>5500</v>
      </c>
      <c r="L16" s="154">
        <v>0</v>
      </c>
      <c r="M16" s="504">
        <f t="shared" ref="M16:M24" si="3">SUM(K16:L16)</f>
        <v>5500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45000</v>
      </c>
      <c r="J17" s="154">
        <v>45000</v>
      </c>
      <c r="K17" s="254">
        <v>55000</v>
      </c>
      <c r="L17" s="154">
        <v>0</v>
      </c>
      <c r="M17" s="504">
        <f t="shared" si="3"/>
        <v>55000</v>
      </c>
      <c r="N17" s="539">
        <f t="shared" si="0"/>
        <v>122.22222222222223</v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8000</v>
      </c>
      <c r="J18" s="154">
        <v>8000</v>
      </c>
      <c r="K18" s="254">
        <v>8000</v>
      </c>
      <c r="L18" s="154">
        <v>0</v>
      </c>
      <c r="M18" s="504">
        <f t="shared" si="3"/>
        <v>8000</v>
      </c>
      <c r="N18" s="539">
        <f t="shared" si="0"/>
        <v>100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16000</v>
      </c>
      <c r="J19" s="154">
        <v>16000</v>
      </c>
      <c r="K19" s="254">
        <v>17000</v>
      </c>
      <c r="L19" s="154">
        <v>0</v>
      </c>
      <c r="M19" s="504">
        <f t="shared" si="3"/>
        <v>17000</v>
      </c>
      <c r="N19" s="539">
        <f t="shared" si="0"/>
        <v>106.25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500</v>
      </c>
      <c r="J20" s="154">
        <v>500</v>
      </c>
      <c r="K20" s="254">
        <v>500</v>
      </c>
      <c r="L20" s="154">
        <v>0</v>
      </c>
      <c r="M20" s="504">
        <f t="shared" si="3"/>
        <v>500</v>
      </c>
      <c r="N20" s="539">
        <f t="shared" si="0"/>
        <v>100</v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11000</v>
      </c>
      <c r="J22" s="154">
        <v>11000</v>
      </c>
      <c r="K22" s="254">
        <v>11000</v>
      </c>
      <c r="L22" s="154">
        <v>0</v>
      </c>
      <c r="M22" s="504">
        <f t="shared" si="3"/>
        <v>11000</v>
      </c>
      <c r="N22" s="539">
        <f t="shared" si="0"/>
        <v>100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2200</v>
      </c>
      <c r="J23" s="154">
        <v>2200</v>
      </c>
      <c r="K23" s="254">
        <v>2200</v>
      </c>
      <c r="L23" s="154">
        <v>0</v>
      </c>
      <c r="M23" s="504">
        <f t="shared" si="3"/>
        <v>2200</v>
      </c>
      <c r="N23" s="539">
        <f t="shared" si="0"/>
        <v>100</v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35000</v>
      </c>
      <c r="J24" s="154">
        <v>35000</v>
      </c>
      <c r="K24" s="254">
        <f>35000+5310</f>
        <v>40310</v>
      </c>
      <c r="L24" s="154">
        <v>0</v>
      </c>
      <c r="M24" s="504">
        <f t="shared" si="3"/>
        <v>40310</v>
      </c>
      <c r="N24" s="539">
        <f t="shared" si="0"/>
        <v>115.17142857142856</v>
      </c>
    </row>
    <row r="25" spans="2:15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300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10000</v>
      </c>
      <c r="J26" s="153">
        <f t="shared" si="4"/>
        <v>10000</v>
      </c>
      <c r="K26" s="319">
        <f>SUM(K27:K28)</f>
        <v>17000</v>
      </c>
      <c r="L26" s="153">
        <f>SUM(L27:L28)</f>
        <v>0</v>
      </c>
      <c r="M26" s="476">
        <f>SUM(M27:M28)</f>
        <v>17000</v>
      </c>
      <c r="N26" s="538">
        <f t="shared" si="0"/>
        <v>170</v>
      </c>
    </row>
    <row r="27" spans="2:15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>
        <v>0</v>
      </c>
      <c r="M27" s="504">
        <f t="shared" ref="M27:M28" si="5">SUM(K27:L27)</f>
        <v>0</v>
      </c>
      <c r="N27" s="539" t="str">
        <f t="shared" si="0"/>
        <v/>
      </c>
      <c r="O27" s="277"/>
    </row>
    <row r="28" spans="2:15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10000</v>
      </c>
      <c r="J28" s="154">
        <v>10000</v>
      </c>
      <c r="K28" s="254">
        <v>17000</v>
      </c>
      <c r="L28" s="154">
        <v>0</v>
      </c>
      <c r="M28" s="504">
        <f t="shared" si="5"/>
        <v>17000</v>
      </c>
      <c r="N28" s="539">
        <f t="shared" si="0"/>
        <v>170</v>
      </c>
      <c r="O28" s="277"/>
    </row>
    <row r="29" spans="2:15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5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840</v>
      </c>
      <c r="J30" s="269" t="s">
        <v>840</v>
      </c>
      <c r="K30" s="321" t="s">
        <v>893</v>
      </c>
      <c r="L30" s="269"/>
      <c r="M30" s="471" t="s">
        <v>893</v>
      </c>
      <c r="N30" s="539"/>
    </row>
    <row r="31" spans="2:15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2052070</v>
      </c>
      <c r="J31" s="14">
        <f>J8+J12+J15+J26</f>
        <v>2052070</v>
      </c>
      <c r="K31" s="262">
        <f>K8+K12+K15+K26</f>
        <v>2175410</v>
      </c>
      <c r="L31" s="14">
        <f>L8+L12+L15+L26</f>
        <v>0</v>
      </c>
      <c r="M31" s="476">
        <f>M8+M12+M15+M26</f>
        <v>2175410</v>
      </c>
      <c r="N31" s="538">
        <f>IF(J31=0,"",M31/J31*100)</f>
        <v>106.01051621046065</v>
      </c>
    </row>
    <row r="32" spans="2:15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54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7"/>
  <dimension ref="B1:P94"/>
  <sheetViews>
    <sheetView topLeftCell="D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545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544</v>
      </c>
      <c r="D7" s="7" t="s">
        <v>465</v>
      </c>
      <c r="E7" s="286" t="s">
        <v>719</v>
      </c>
      <c r="F7" s="5"/>
      <c r="G7" s="5"/>
      <c r="H7" s="5"/>
      <c r="I7" s="258"/>
      <c r="J7" s="5"/>
      <c r="K7" s="4"/>
      <c r="L7" s="5"/>
      <c r="M7" s="502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3493700</v>
      </c>
      <c r="J8" s="153">
        <f>SUM(J9:J11)</f>
        <v>3493700</v>
      </c>
      <c r="K8" s="319">
        <f>SUM(K9:K11)</f>
        <v>3642270</v>
      </c>
      <c r="L8" s="153">
        <f>SUM(L9:L11)</f>
        <v>0</v>
      </c>
      <c r="M8" s="503">
        <f>SUM(M9:M11)</f>
        <v>3642270</v>
      </c>
      <c r="N8" s="538">
        <f t="shared" ref="N8:N29" si="0">IF(J8=0,"",M8/J8*100)</f>
        <v>104.25251166385208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2847900+5000</f>
        <v>2852900</v>
      </c>
      <c r="J9" s="151">
        <f>2847900+5000</f>
        <v>2852900</v>
      </c>
      <c r="K9" s="253">
        <f>2978100+5*1100+630+74450</f>
        <v>3058680</v>
      </c>
      <c r="L9" s="151">
        <v>0</v>
      </c>
      <c r="M9" s="504">
        <f>SUM(K9:L9)</f>
        <v>3058680</v>
      </c>
      <c r="N9" s="539">
        <f t="shared" si="0"/>
        <v>107.21301132181289</v>
      </c>
      <c r="P9" s="44"/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595600+2000+108*400</f>
        <v>640800</v>
      </c>
      <c r="J10" s="151">
        <f>595600+2000+108*400</f>
        <v>640800</v>
      </c>
      <c r="K10" s="253">
        <f>569940+5*2450+1400</f>
        <v>583590</v>
      </c>
      <c r="L10" s="151">
        <v>0</v>
      </c>
      <c r="M10" s="504">
        <f t="shared" ref="M10" si="1">SUM(K10:L10)</f>
        <v>583590</v>
      </c>
      <c r="N10" s="539">
        <f t="shared" si="0"/>
        <v>91.072097378277149</v>
      </c>
      <c r="P10" s="44"/>
    </row>
    <row r="11" spans="2:16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303000</v>
      </c>
      <c r="J12" s="153">
        <f t="shared" si="2"/>
        <v>303000</v>
      </c>
      <c r="K12" s="319">
        <f>K13</f>
        <v>323090</v>
      </c>
      <c r="L12" s="153">
        <f>L13</f>
        <v>0</v>
      </c>
      <c r="M12" s="503">
        <f>M13</f>
        <v>323090</v>
      </c>
      <c r="N12" s="538">
        <f t="shared" si="0"/>
        <v>106.63036303630362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302350+650</f>
        <v>303000</v>
      </c>
      <c r="J13" s="151">
        <f>302350+650</f>
        <v>303000</v>
      </c>
      <c r="K13" s="253">
        <f>312720+5*390+230+8190</f>
        <v>323090</v>
      </c>
      <c r="L13" s="151">
        <v>0</v>
      </c>
      <c r="M13" s="504">
        <f>SUM(K13:L13)</f>
        <v>323090</v>
      </c>
      <c r="N13" s="539">
        <f t="shared" si="0"/>
        <v>106.63036303630362</v>
      </c>
    </row>
    <row r="14" spans="2:16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232500</v>
      </c>
      <c r="J15" s="155">
        <f>SUM(J16:J24)</f>
        <v>232500</v>
      </c>
      <c r="K15" s="320">
        <f>SUM(K16:K24)</f>
        <v>247220</v>
      </c>
      <c r="L15" s="155">
        <f>SUM(L16:L24)</f>
        <v>0</v>
      </c>
      <c r="M15" s="476">
        <f>SUM(M16:M24)</f>
        <v>247220</v>
      </c>
      <c r="N15" s="538">
        <f t="shared" si="0"/>
        <v>106.33118279569894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10500</v>
      </c>
      <c r="J16" s="151">
        <v>10500</v>
      </c>
      <c r="K16" s="253">
        <v>11000</v>
      </c>
      <c r="L16" s="151">
        <v>0</v>
      </c>
      <c r="M16" s="504">
        <f t="shared" ref="M16:M24" si="3">SUM(K16:L16)</f>
        <v>11000</v>
      </c>
      <c r="N16" s="539">
        <f t="shared" si="0"/>
        <v>104.76190476190477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100000</v>
      </c>
      <c r="J17" s="151">
        <v>100000</v>
      </c>
      <c r="K17" s="253">
        <v>105000</v>
      </c>
      <c r="L17" s="151">
        <v>0</v>
      </c>
      <c r="M17" s="504">
        <f t="shared" si="3"/>
        <v>105000</v>
      </c>
      <c r="N17" s="539">
        <f t="shared" si="0"/>
        <v>105</v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17000</v>
      </c>
      <c r="J18" s="151">
        <v>17000</v>
      </c>
      <c r="K18" s="253">
        <v>16000</v>
      </c>
      <c r="L18" s="151">
        <v>0</v>
      </c>
      <c r="M18" s="504">
        <f t="shared" si="3"/>
        <v>16000</v>
      </c>
      <c r="N18" s="539">
        <f t="shared" si="0"/>
        <v>94.117647058823522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25000</v>
      </c>
      <c r="J19" s="151">
        <v>25000</v>
      </c>
      <c r="K19" s="253">
        <v>25000</v>
      </c>
      <c r="L19" s="151">
        <v>0</v>
      </c>
      <c r="M19" s="504">
        <f t="shared" si="3"/>
        <v>25000</v>
      </c>
      <c r="N19" s="539">
        <f t="shared" si="0"/>
        <v>100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2500</v>
      </c>
      <c r="J20" s="151">
        <v>2500</v>
      </c>
      <c r="K20" s="253">
        <v>3000</v>
      </c>
      <c r="L20" s="151">
        <v>0</v>
      </c>
      <c r="M20" s="504">
        <f t="shared" si="3"/>
        <v>3000</v>
      </c>
      <c r="N20" s="539">
        <f t="shared" si="0"/>
        <v>120</v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34000</v>
      </c>
      <c r="J22" s="151">
        <v>34000</v>
      </c>
      <c r="K22" s="253">
        <v>34000</v>
      </c>
      <c r="L22" s="151">
        <v>0</v>
      </c>
      <c r="M22" s="504">
        <f t="shared" si="3"/>
        <v>34000</v>
      </c>
      <c r="N22" s="539">
        <f t="shared" si="0"/>
        <v>100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3500</v>
      </c>
      <c r="J23" s="151">
        <v>3500</v>
      </c>
      <c r="K23" s="253">
        <v>3500</v>
      </c>
      <c r="L23" s="151">
        <v>0</v>
      </c>
      <c r="M23" s="504">
        <f t="shared" si="3"/>
        <v>3500</v>
      </c>
      <c r="N23" s="539">
        <f t="shared" si="0"/>
        <v>100</v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40000</v>
      </c>
      <c r="J24" s="151">
        <v>40000</v>
      </c>
      <c r="K24" s="253">
        <f>40000+9720</f>
        <v>49720</v>
      </c>
      <c r="L24" s="151">
        <v>0</v>
      </c>
      <c r="M24" s="504">
        <f t="shared" si="3"/>
        <v>49720</v>
      </c>
      <c r="N24" s="539">
        <f t="shared" si="0"/>
        <v>124.30000000000001</v>
      </c>
    </row>
    <row r="25" spans="2:15" s="1" customFormat="1" ht="12.95" customHeight="1" x14ac:dyDescent="0.2">
      <c r="B25" s="12"/>
      <c r="C25" s="8"/>
      <c r="D25" s="8"/>
      <c r="E25" s="8"/>
      <c r="F25" s="121"/>
      <c r="G25" s="135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" si="4">SUM(I27:I29)</f>
        <v>59430</v>
      </c>
      <c r="J26" s="153">
        <f t="shared" ref="J26" si="5">SUM(J27:J29)</f>
        <v>59430</v>
      </c>
      <c r="K26" s="319">
        <f>SUM(K27:K29)</f>
        <v>49000</v>
      </c>
      <c r="L26" s="153">
        <f>SUM(L27:L29)</f>
        <v>0</v>
      </c>
      <c r="M26" s="476">
        <f>SUM(M27:M29)</f>
        <v>49000</v>
      </c>
      <c r="N26" s="538">
        <f t="shared" si="0"/>
        <v>82.449941107184927</v>
      </c>
    </row>
    <row r="27" spans="2:15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30430</v>
      </c>
      <c r="J27" s="151">
        <v>30430</v>
      </c>
      <c r="K27" s="253">
        <v>27000</v>
      </c>
      <c r="L27" s="151">
        <v>0</v>
      </c>
      <c r="M27" s="504">
        <f t="shared" ref="M27:M28" si="6">SUM(K27:L27)</f>
        <v>27000</v>
      </c>
      <c r="N27" s="539">
        <f t="shared" si="0"/>
        <v>88.728228721656251</v>
      </c>
    </row>
    <row r="28" spans="2:15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29000</v>
      </c>
      <c r="J28" s="151">
        <v>29000</v>
      </c>
      <c r="K28" s="253">
        <v>22000</v>
      </c>
      <c r="L28" s="151">
        <v>0</v>
      </c>
      <c r="M28" s="504">
        <f t="shared" si="6"/>
        <v>22000</v>
      </c>
      <c r="N28" s="539">
        <f t="shared" si="0"/>
        <v>75.862068965517238</v>
      </c>
      <c r="O28" s="277"/>
    </row>
    <row r="29" spans="2:15" ht="12.95" customHeight="1" x14ac:dyDescent="0.2">
      <c r="B29" s="10"/>
      <c r="C29" s="11"/>
      <c r="D29" s="11"/>
      <c r="E29" s="11"/>
      <c r="F29" s="122"/>
      <c r="G29" s="136"/>
      <c r="H29" s="22"/>
      <c r="I29" s="151"/>
      <c r="J29" s="151"/>
      <c r="K29" s="253"/>
      <c r="L29" s="151"/>
      <c r="M29" s="478"/>
      <c r="N29" s="539" t="str">
        <f t="shared" si="0"/>
        <v/>
      </c>
    </row>
    <row r="30" spans="2:15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841</v>
      </c>
      <c r="J30" s="269" t="s">
        <v>841</v>
      </c>
      <c r="K30" s="321" t="s">
        <v>841</v>
      </c>
      <c r="L30" s="269"/>
      <c r="M30" s="471" t="s">
        <v>841</v>
      </c>
      <c r="N30" s="539"/>
    </row>
    <row r="31" spans="2:15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4088630</v>
      </c>
      <c r="J31" s="14">
        <f>J8+J12+J15+J26</f>
        <v>4088630</v>
      </c>
      <c r="K31" s="262">
        <f>K8+K12+K15+K26</f>
        <v>4261580</v>
      </c>
      <c r="L31" s="14">
        <f>L8+L12+L15+L26</f>
        <v>0</v>
      </c>
      <c r="M31" s="476">
        <f>M8+M12+M15+M26</f>
        <v>4261580</v>
      </c>
      <c r="N31" s="538">
        <f>IF(J31=0,"",M31/J31*100)</f>
        <v>104.23002325962487</v>
      </c>
    </row>
    <row r="32" spans="2:15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K35" s="543"/>
      <c r="L35" s="327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28"/>
  <dimension ref="B1:P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546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544</v>
      </c>
      <c r="D7" s="7" t="s">
        <v>467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921510</v>
      </c>
      <c r="J8" s="153">
        <f>SUM(J9:J11)</f>
        <v>921510</v>
      </c>
      <c r="K8" s="319">
        <f>SUM(K9:K11)</f>
        <v>955760</v>
      </c>
      <c r="L8" s="153">
        <f>SUM(L9:L11)</f>
        <v>0</v>
      </c>
      <c r="M8" s="503">
        <f>SUM(M9:M11)</f>
        <v>955760</v>
      </c>
      <c r="N8" s="538">
        <f t="shared" ref="N8:N29" si="0">IF(J8=0,"",M8/J8*100)</f>
        <v>103.71672580872698</v>
      </c>
      <c r="P8" s="45"/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756650+1200</f>
        <v>757850</v>
      </c>
      <c r="J9" s="154">
        <f>756650+1200</f>
        <v>757850</v>
      </c>
      <c r="K9" s="254">
        <f>794800+1100+19870</f>
        <v>815770</v>
      </c>
      <c r="L9" s="154">
        <v>0</v>
      </c>
      <c r="M9" s="504">
        <f>SUM(K9:L9)</f>
        <v>815770</v>
      </c>
      <c r="N9" s="539">
        <f t="shared" si="0"/>
        <v>107.64267335224649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139800+7000+4160+1500+28*400</f>
        <v>163660</v>
      </c>
      <c r="J10" s="154">
        <f>139800+7000+4160+1500+28*400</f>
        <v>163660</v>
      </c>
      <c r="K10" s="254">
        <f>130540+7000+2450</f>
        <v>139990</v>
      </c>
      <c r="L10" s="154">
        <v>0</v>
      </c>
      <c r="M10" s="504">
        <f t="shared" ref="M10" si="1">SUM(K10:L10)</f>
        <v>139990</v>
      </c>
      <c r="N10" s="539">
        <f t="shared" si="0"/>
        <v>85.537089087131861</v>
      </c>
    </row>
    <row r="11" spans="2:16" ht="12.95" customHeight="1" x14ac:dyDescent="0.2">
      <c r="B11" s="10"/>
      <c r="C11" s="11"/>
      <c r="D11" s="11"/>
      <c r="E11" s="11"/>
      <c r="F11" s="122"/>
      <c r="G11" s="136"/>
      <c r="H11" s="22"/>
      <c r="I11" s="154"/>
      <c r="J11" s="154"/>
      <c r="K11" s="254"/>
      <c r="L11" s="154"/>
      <c r="M11" s="504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79940</v>
      </c>
      <c r="J12" s="153">
        <f t="shared" si="2"/>
        <v>79940</v>
      </c>
      <c r="K12" s="319">
        <f>K13</f>
        <v>86080</v>
      </c>
      <c r="L12" s="153">
        <f>L13</f>
        <v>0</v>
      </c>
      <c r="M12" s="503">
        <f>M13</f>
        <v>86080</v>
      </c>
      <c r="N12" s="538">
        <f t="shared" si="0"/>
        <v>107.68076057042781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79490+450</f>
        <v>79940</v>
      </c>
      <c r="J13" s="154">
        <f>79490+450</f>
        <v>79940</v>
      </c>
      <c r="K13" s="254">
        <f>83500+390+2190</f>
        <v>86080</v>
      </c>
      <c r="L13" s="154">
        <v>0</v>
      </c>
      <c r="M13" s="504">
        <f>SUM(K13:L13)</f>
        <v>86080</v>
      </c>
      <c r="N13" s="539">
        <f t="shared" si="0"/>
        <v>107.68076057042781</v>
      </c>
    </row>
    <row r="14" spans="2:16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68300</v>
      </c>
      <c r="J15" s="155">
        <f>SUM(J16:J24)</f>
        <v>68300</v>
      </c>
      <c r="K15" s="320">
        <f>SUM(K16:K24)</f>
        <v>69820</v>
      </c>
      <c r="L15" s="155">
        <f>SUM(L16:L24)</f>
        <v>0</v>
      </c>
      <c r="M15" s="476">
        <f>SUM(M16:M24)</f>
        <v>69820</v>
      </c>
      <c r="N15" s="538">
        <f t="shared" si="0"/>
        <v>102.22547584187409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3000</v>
      </c>
      <c r="J16" s="154">
        <v>3000</v>
      </c>
      <c r="K16" s="254">
        <v>3000</v>
      </c>
      <c r="L16" s="154">
        <v>0</v>
      </c>
      <c r="M16" s="504">
        <f t="shared" ref="M16:M24" si="3">SUM(K16:L16)</f>
        <v>3000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20000</v>
      </c>
      <c r="J17" s="154">
        <v>20000</v>
      </c>
      <c r="K17" s="254">
        <v>25000</v>
      </c>
      <c r="L17" s="154">
        <v>0</v>
      </c>
      <c r="M17" s="504">
        <f t="shared" si="3"/>
        <v>25000</v>
      </c>
      <c r="N17" s="539">
        <f t="shared" si="0"/>
        <v>125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4000</v>
      </c>
      <c r="J18" s="154">
        <v>4000</v>
      </c>
      <c r="K18" s="254">
        <v>4000</v>
      </c>
      <c r="L18" s="154">
        <v>0</v>
      </c>
      <c r="M18" s="504">
        <f t="shared" si="3"/>
        <v>4000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11000</v>
      </c>
      <c r="J19" s="154">
        <v>11000</v>
      </c>
      <c r="K19" s="254">
        <v>12000</v>
      </c>
      <c r="L19" s="154">
        <v>0</v>
      </c>
      <c r="M19" s="504">
        <f t="shared" si="3"/>
        <v>12000</v>
      </c>
      <c r="N19" s="539">
        <f t="shared" si="0"/>
        <v>109.09090909090908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500</v>
      </c>
      <c r="J20" s="154">
        <v>500</v>
      </c>
      <c r="K20" s="254">
        <v>500</v>
      </c>
      <c r="L20" s="154">
        <v>0</v>
      </c>
      <c r="M20" s="504">
        <f t="shared" si="3"/>
        <v>500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13000</v>
      </c>
      <c r="J22" s="154">
        <v>13000</v>
      </c>
      <c r="K22" s="254">
        <v>13000</v>
      </c>
      <c r="L22" s="154">
        <v>0</v>
      </c>
      <c r="M22" s="504">
        <f t="shared" si="3"/>
        <v>13000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800</v>
      </c>
      <c r="J23" s="154">
        <v>800</v>
      </c>
      <c r="K23" s="254">
        <v>800</v>
      </c>
      <c r="L23" s="154">
        <v>0</v>
      </c>
      <c r="M23" s="504">
        <f t="shared" si="3"/>
        <v>800</v>
      </c>
      <c r="N23" s="539">
        <f t="shared" si="0"/>
        <v>100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16000</v>
      </c>
      <c r="J24" s="154">
        <v>16000</v>
      </c>
      <c r="K24" s="254">
        <f>9000+2520</f>
        <v>11520</v>
      </c>
      <c r="L24" s="154">
        <v>0</v>
      </c>
      <c r="M24" s="504">
        <f t="shared" si="3"/>
        <v>11520</v>
      </c>
      <c r="N24" s="539">
        <f t="shared" si="0"/>
        <v>72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65640</v>
      </c>
      <c r="J26" s="153">
        <f t="shared" si="4"/>
        <v>65640</v>
      </c>
      <c r="K26" s="319">
        <f>SUM(K27:K28)</f>
        <v>35000</v>
      </c>
      <c r="L26" s="153">
        <f>SUM(L27:L28)</f>
        <v>0</v>
      </c>
      <c r="M26" s="476">
        <f>SUM(M27:M28)</f>
        <v>35000</v>
      </c>
      <c r="N26" s="538">
        <f t="shared" si="0"/>
        <v>53.321145642900667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35650</v>
      </c>
      <c r="J27" s="154">
        <v>35650</v>
      </c>
      <c r="K27" s="254">
        <v>20000</v>
      </c>
      <c r="L27" s="154">
        <v>0</v>
      </c>
      <c r="M27" s="504">
        <f t="shared" ref="M27:M28" si="5">SUM(K27:L27)</f>
        <v>20000</v>
      </c>
      <c r="N27" s="539">
        <f t="shared" si="0"/>
        <v>56.100981767180926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29990</v>
      </c>
      <c r="J28" s="154">
        <v>29990</v>
      </c>
      <c r="K28" s="254">
        <v>15000</v>
      </c>
      <c r="L28" s="154">
        <v>0</v>
      </c>
      <c r="M28" s="504">
        <f t="shared" si="5"/>
        <v>15000</v>
      </c>
      <c r="N28" s="539">
        <f t="shared" si="0"/>
        <v>50.016672224074689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778</v>
      </c>
      <c r="J30" s="269" t="s">
        <v>778</v>
      </c>
      <c r="K30" s="321" t="s">
        <v>778</v>
      </c>
      <c r="L30" s="269"/>
      <c r="M30" s="471" t="s">
        <v>778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1135390</v>
      </c>
      <c r="J31" s="14">
        <f>J8+J12+J15+J26</f>
        <v>1135390</v>
      </c>
      <c r="K31" s="262">
        <f>K8+K12+K15+K26</f>
        <v>1146660</v>
      </c>
      <c r="L31" s="14">
        <f>L8+L12+L15+L26</f>
        <v>0</v>
      </c>
      <c r="M31" s="476">
        <f>M8+M12+M15+M26</f>
        <v>1146660</v>
      </c>
      <c r="N31" s="538">
        <f>IF(J31=0,"",M31/J31*100)</f>
        <v>100.99261046864953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29"/>
  <dimension ref="B1:O94"/>
  <sheetViews>
    <sheetView topLeftCell="D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547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527</v>
      </c>
      <c r="C7" s="7" t="s">
        <v>544</v>
      </c>
      <c r="D7" s="7" t="s">
        <v>469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1085150</v>
      </c>
      <c r="J8" s="153">
        <f>SUM(J9:J10)</f>
        <v>1085150</v>
      </c>
      <c r="K8" s="319">
        <f>SUM(K9:K10)</f>
        <v>1145220</v>
      </c>
      <c r="L8" s="153">
        <f>SUM(L9:L10)</f>
        <v>0</v>
      </c>
      <c r="M8" s="503">
        <f>SUM(M9:M10)</f>
        <v>1145220</v>
      </c>
      <c r="N8" s="538">
        <f t="shared" ref="N8:N29" si="0">IF(J8=0,"",M8/J8*100)</f>
        <v>105.53564023406904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902750+1200</f>
        <v>903950</v>
      </c>
      <c r="J9" s="154">
        <f>902750+1200</f>
        <v>903950</v>
      </c>
      <c r="K9" s="254">
        <f>958220+23960</f>
        <v>982180</v>
      </c>
      <c r="L9" s="154">
        <v>0</v>
      </c>
      <c r="M9" s="504">
        <f>SUM(K9:L9)</f>
        <v>982180</v>
      </c>
      <c r="N9" s="539">
        <f t="shared" si="0"/>
        <v>108.65423972564854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166100+1500+34*400</f>
        <v>181200</v>
      </c>
      <c r="J10" s="154">
        <f>166100+1500+34*400</f>
        <v>181200</v>
      </c>
      <c r="K10" s="254">
        <f>163040</f>
        <v>163040</v>
      </c>
      <c r="L10" s="154">
        <v>0</v>
      </c>
      <c r="M10" s="504">
        <f t="shared" ref="M10" si="1">SUM(K10:L10)</f>
        <v>163040</v>
      </c>
      <c r="N10" s="539">
        <f t="shared" si="0"/>
        <v>89.977924944812358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96770</v>
      </c>
      <c r="J12" s="153">
        <f t="shared" si="2"/>
        <v>96770</v>
      </c>
      <c r="K12" s="319">
        <f>K13</f>
        <v>103280</v>
      </c>
      <c r="L12" s="153">
        <f>L13</f>
        <v>0</v>
      </c>
      <c r="M12" s="503">
        <f>M13</f>
        <v>103280</v>
      </c>
      <c r="N12" s="538">
        <f t="shared" si="0"/>
        <v>106.72729151596569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96320+450</f>
        <v>96770</v>
      </c>
      <c r="J13" s="154">
        <f>96320+450</f>
        <v>96770</v>
      </c>
      <c r="K13" s="254">
        <f>100640+2640</f>
        <v>103280</v>
      </c>
      <c r="L13" s="154">
        <v>0</v>
      </c>
      <c r="M13" s="504">
        <f>SUM(K13:L13)</f>
        <v>103280</v>
      </c>
      <c r="N13" s="539">
        <f t="shared" si="0"/>
        <v>106.72729151596569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89170</v>
      </c>
      <c r="J15" s="155">
        <f>SUM(J16:J24)</f>
        <v>89170</v>
      </c>
      <c r="K15" s="320">
        <f>SUM(K16:K24)</f>
        <v>94260</v>
      </c>
      <c r="L15" s="155">
        <f>SUM(L16:L24)</f>
        <v>0</v>
      </c>
      <c r="M15" s="476">
        <f>SUM(M16:M24)</f>
        <v>94260</v>
      </c>
      <c r="N15" s="538">
        <f t="shared" si="0"/>
        <v>105.70819782438039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3500</v>
      </c>
      <c r="J16" s="154">
        <v>3500</v>
      </c>
      <c r="K16" s="254">
        <v>3500</v>
      </c>
      <c r="L16" s="154">
        <v>0</v>
      </c>
      <c r="M16" s="504">
        <f t="shared" ref="M16:M24" si="3">SUM(K16:L16)</f>
        <v>3500</v>
      </c>
      <c r="N16" s="539">
        <f t="shared" si="0"/>
        <v>100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38000</v>
      </c>
      <c r="J17" s="154">
        <v>38000</v>
      </c>
      <c r="K17" s="254">
        <v>40000</v>
      </c>
      <c r="L17" s="154">
        <v>0</v>
      </c>
      <c r="M17" s="504">
        <f t="shared" si="3"/>
        <v>40000</v>
      </c>
      <c r="N17" s="539">
        <f t="shared" si="0"/>
        <v>105.26315789473684</v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3000</v>
      </c>
      <c r="J18" s="154">
        <v>3000</v>
      </c>
      <c r="K18" s="254">
        <v>3000</v>
      </c>
      <c r="L18" s="154">
        <v>0</v>
      </c>
      <c r="M18" s="504">
        <f t="shared" si="3"/>
        <v>3000</v>
      </c>
      <c r="N18" s="539">
        <f t="shared" si="0"/>
        <v>100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12000</v>
      </c>
      <c r="J19" s="154">
        <v>12000</v>
      </c>
      <c r="K19" s="254">
        <v>12000</v>
      </c>
      <c r="L19" s="154">
        <v>0</v>
      </c>
      <c r="M19" s="504">
        <f t="shared" si="3"/>
        <v>12000</v>
      </c>
      <c r="N19" s="539">
        <f t="shared" si="0"/>
        <v>100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500</v>
      </c>
      <c r="J20" s="154">
        <v>500</v>
      </c>
      <c r="K20" s="254">
        <v>500</v>
      </c>
      <c r="L20" s="154">
        <v>0</v>
      </c>
      <c r="M20" s="504">
        <f t="shared" si="3"/>
        <v>500</v>
      </c>
      <c r="N20" s="539">
        <f t="shared" si="0"/>
        <v>100</v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13000</v>
      </c>
      <c r="J22" s="154">
        <v>13000</v>
      </c>
      <c r="K22" s="254">
        <v>13000</v>
      </c>
      <c r="L22" s="154">
        <v>0</v>
      </c>
      <c r="M22" s="504">
        <f t="shared" si="3"/>
        <v>13000</v>
      </c>
      <c r="N22" s="539">
        <f t="shared" si="0"/>
        <v>100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1170</v>
      </c>
      <c r="J23" s="154">
        <v>1170</v>
      </c>
      <c r="K23" s="254">
        <v>1200</v>
      </c>
      <c r="L23" s="154">
        <v>0</v>
      </c>
      <c r="M23" s="504">
        <f t="shared" si="3"/>
        <v>1200</v>
      </c>
      <c r="N23" s="539">
        <f t="shared" si="0"/>
        <v>102.56410256410255</v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18000</v>
      </c>
      <c r="J24" s="154">
        <v>18000</v>
      </c>
      <c r="K24" s="254">
        <f>18000+3060</f>
        <v>21060</v>
      </c>
      <c r="L24" s="154">
        <v>0</v>
      </c>
      <c r="M24" s="504">
        <f t="shared" si="3"/>
        <v>21060</v>
      </c>
      <c r="N24" s="539">
        <f t="shared" si="0"/>
        <v>117</v>
      </c>
    </row>
    <row r="25" spans="2:15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16020</v>
      </c>
      <c r="J26" s="153">
        <f t="shared" si="4"/>
        <v>16020</v>
      </c>
      <c r="K26" s="319">
        <f>SUM(K27:K28)</f>
        <v>27000</v>
      </c>
      <c r="L26" s="153">
        <f>SUM(L27:L28)</f>
        <v>0</v>
      </c>
      <c r="M26" s="476">
        <f>SUM(M27:M28)</f>
        <v>27000</v>
      </c>
      <c r="N26" s="538">
        <f t="shared" si="0"/>
        <v>168.53932584269663</v>
      </c>
    </row>
    <row r="27" spans="2:15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f>10000+6020</f>
        <v>16020</v>
      </c>
      <c r="J27" s="154">
        <f>10000+6020</f>
        <v>16020</v>
      </c>
      <c r="K27" s="254">
        <v>15000</v>
      </c>
      <c r="L27" s="154">
        <v>0</v>
      </c>
      <c r="M27" s="504">
        <f t="shared" ref="M27:M28" si="5">SUM(K27:L27)</f>
        <v>15000</v>
      </c>
      <c r="N27" s="539">
        <f t="shared" si="0"/>
        <v>93.63295880149812</v>
      </c>
      <c r="O27" s="277"/>
    </row>
    <row r="28" spans="2:15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0</v>
      </c>
      <c r="J28" s="154">
        <v>0</v>
      </c>
      <c r="K28" s="254">
        <v>12000</v>
      </c>
      <c r="L28" s="154">
        <v>0</v>
      </c>
      <c r="M28" s="504">
        <f t="shared" si="5"/>
        <v>12000</v>
      </c>
      <c r="N28" s="539" t="str">
        <f t="shared" si="0"/>
        <v/>
      </c>
      <c r="O28" s="277"/>
    </row>
    <row r="29" spans="2:15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5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842</v>
      </c>
      <c r="J30" s="269" t="s">
        <v>842</v>
      </c>
      <c r="K30" s="321" t="s">
        <v>842</v>
      </c>
      <c r="L30" s="269"/>
      <c r="M30" s="471" t="s">
        <v>842</v>
      </c>
      <c r="N30" s="539"/>
    </row>
    <row r="31" spans="2:15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1287110</v>
      </c>
      <c r="J31" s="14">
        <f>J8+J12+J15+J26</f>
        <v>1287110</v>
      </c>
      <c r="K31" s="262">
        <f>K8+K12+K15+K26</f>
        <v>1369760</v>
      </c>
      <c r="L31" s="14">
        <f>L8+L12+L15+L26</f>
        <v>0</v>
      </c>
      <c r="M31" s="476">
        <f>M8+M12+M15+M26</f>
        <v>1369760</v>
      </c>
      <c r="N31" s="538">
        <f>IF(J31=0,"",M31/J31*100)</f>
        <v>106.42136258750223</v>
      </c>
    </row>
    <row r="32" spans="2:15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64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0"/>
  <dimension ref="B1:P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548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544</v>
      </c>
      <c r="D7" s="7" t="s">
        <v>470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1241330</v>
      </c>
      <c r="J8" s="153">
        <f>SUM(J9:J10)</f>
        <v>1241330</v>
      </c>
      <c r="K8" s="319">
        <f>SUM(K9:K10)</f>
        <v>1260930</v>
      </c>
      <c r="L8" s="153">
        <f>SUM(L9:L10)</f>
        <v>0</v>
      </c>
      <c r="M8" s="503">
        <f>SUM(M9:M10)</f>
        <v>1260930</v>
      </c>
      <c r="N8" s="538">
        <f t="shared" ref="N8:N29" si="0">IF(J8=0,"",M8/J8*100)</f>
        <v>101.57895160835555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978990+1350+800+9000</f>
        <v>990140</v>
      </c>
      <c r="J9" s="154">
        <f>978990+1350+800+9000</f>
        <v>990140</v>
      </c>
      <c r="K9" s="254">
        <f>1022390+1100+2*630+25560</f>
        <v>1050310</v>
      </c>
      <c r="L9" s="154">
        <v>0</v>
      </c>
      <c r="M9" s="504">
        <f>SUM(K9:L9)</f>
        <v>1050310</v>
      </c>
      <c r="N9" s="539">
        <f t="shared" si="0"/>
        <v>106.07691841557761</v>
      </c>
      <c r="P9" s="44"/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230740+2450+1400+1000+39*400</f>
        <v>251190</v>
      </c>
      <c r="J10" s="154">
        <f>230740+2450+1400+1000+39*400</f>
        <v>251190</v>
      </c>
      <c r="K10" s="254">
        <f>198020+7350+2450+2*1400</f>
        <v>210620</v>
      </c>
      <c r="L10" s="154">
        <v>0</v>
      </c>
      <c r="M10" s="504">
        <f t="shared" ref="M10" si="1">SUM(K10:L10)</f>
        <v>210620</v>
      </c>
      <c r="N10" s="539">
        <f t="shared" si="0"/>
        <v>83.848879334368405</v>
      </c>
    </row>
    <row r="11" spans="2:16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104660</v>
      </c>
      <c r="J12" s="153">
        <f t="shared" si="2"/>
        <v>104660</v>
      </c>
      <c r="K12" s="319">
        <f>K13</f>
        <v>116020</v>
      </c>
      <c r="L12" s="153">
        <f>L13</f>
        <v>0</v>
      </c>
      <c r="M12" s="503">
        <f>M13</f>
        <v>116020</v>
      </c>
      <c r="N12" s="538">
        <f t="shared" si="0"/>
        <v>110.85419453468374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103050+390+220+1000</f>
        <v>104660</v>
      </c>
      <c r="J13" s="154">
        <f>103050+390+220+1000</f>
        <v>104660</v>
      </c>
      <c r="K13" s="254">
        <f>112350+390+2*230+2820</f>
        <v>116020</v>
      </c>
      <c r="L13" s="154">
        <v>0</v>
      </c>
      <c r="M13" s="504">
        <f>SUM(K13:L13)</f>
        <v>116020</v>
      </c>
      <c r="N13" s="539">
        <f t="shared" si="0"/>
        <v>110.85419453468374</v>
      </c>
    </row>
    <row r="14" spans="2:16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124300</v>
      </c>
      <c r="J15" s="155">
        <f>SUM(J16:J24)</f>
        <v>124300</v>
      </c>
      <c r="K15" s="320">
        <f>SUM(K16:K24)</f>
        <v>148110</v>
      </c>
      <c r="L15" s="155">
        <f>SUM(L16:L24)</f>
        <v>0</v>
      </c>
      <c r="M15" s="476">
        <f>SUM(M16:M24)</f>
        <v>148110</v>
      </c>
      <c r="N15" s="538">
        <f t="shared" si="0"/>
        <v>119.15526950925181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4000</v>
      </c>
      <c r="J16" s="154">
        <v>4000</v>
      </c>
      <c r="K16" s="254">
        <v>4000</v>
      </c>
      <c r="L16" s="154">
        <v>0</v>
      </c>
      <c r="M16" s="504">
        <f t="shared" ref="M16:M24" si="3">SUM(K16:L16)</f>
        <v>4000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65000</v>
      </c>
      <c r="J17" s="154">
        <v>65000</v>
      </c>
      <c r="K17" s="254">
        <v>65000</v>
      </c>
      <c r="L17" s="154">
        <v>0</v>
      </c>
      <c r="M17" s="504">
        <f t="shared" si="3"/>
        <v>65000</v>
      </c>
      <c r="N17" s="539">
        <f t="shared" si="0"/>
        <v>100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6000</v>
      </c>
      <c r="J18" s="154">
        <v>6000</v>
      </c>
      <c r="K18" s="254">
        <v>7000</v>
      </c>
      <c r="L18" s="154">
        <v>0</v>
      </c>
      <c r="M18" s="504">
        <f t="shared" si="3"/>
        <v>7000</v>
      </c>
      <c r="N18" s="539">
        <f t="shared" si="0"/>
        <v>116.66666666666667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14000</v>
      </c>
      <c r="J19" s="154">
        <v>14000</v>
      </c>
      <c r="K19" s="254">
        <v>15000</v>
      </c>
      <c r="L19" s="154">
        <v>0</v>
      </c>
      <c r="M19" s="504">
        <f t="shared" si="3"/>
        <v>15000</v>
      </c>
      <c r="N19" s="539">
        <f t="shared" si="0"/>
        <v>107.14285714285714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1200</v>
      </c>
      <c r="J20" s="154">
        <v>1200</v>
      </c>
      <c r="K20" s="254">
        <v>1500</v>
      </c>
      <c r="L20" s="154">
        <v>0</v>
      </c>
      <c r="M20" s="504">
        <f t="shared" si="3"/>
        <v>1500</v>
      </c>
      <c r="N20" s="539">
        <f t="shared" si="0"/>
        <v>125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14000</v>
      </c>
      <c r="J22" s="154">
        <v>14000</v>
      </c>
      <c r="K22" s="254">
        <v>15000</v>
      </c>
      <c r="L22" s="154">
        <v>0</v>
      </c>
      <c r="M22" s="504">
        <f t="shared" si="3"/>
        <v>15000</v>
      </c>
      <c r="N22" s="539">
        <f t="shared" si="0"/>
        <v>107.14285714285714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2100</v>
      </c>
      <c r="J23" s="154">
        <v>2100</v>
      </c>
      <c r="K23" s="254">
        <v>2100</v>
      </c>
      <c r="L23" s="154">
        <v>0</v>
      </c>
      <c r="M23" s="504">
        <f t="shared" si="3"/>
        <v>2100</v>
      </c>
      <c r="N23" s="539">
        <f t="shared" si="0"/>
        <v>100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18000</v>
      </c>
      <c r="J24" s="154">
        <v>18000</v>
      </c>
      <c r="K24" s="254">
        <f>35000+3510</f>
        <v>38510</v>
      </c>
      <c r="L24" s="154">
        <v>0</v>
      </c>
      <c r="M24" s="504">
        <f t="shared" si="3"/>
        <v>38510</v>
      </c>
      <c r="N24" s="539">
        <f t="shared" si="0"/>
        <v>213.94444444444446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" si="4">SUM(I27:I28)</f>
        <v>69930</v>
      </c>
      <c r="J26" s="153">
        <f t="shared" ref="J26" si="5">SUM(J27:J28)</f>
        <v>69930</v>
      </c>
      <c r="K26" s="319">
        <f>SUM(K27:K28)</f>
        <v>16000</v>
      </c>
      <c r="L26" s="153">
        <f>SUM(L27:L28)</f>
        <v>0</v>
      </c>
      <c r="M26" s="476">
        <f>SUM(M27:M28)</f>
        <v>16000</v>
      </c>
      <c r="N26" s="538">
        <f t="shared" si="0"/>
        <v>22.880022880022878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33460</v>
      </c>
      <c r="J27" s="154">
        <v>33460</v>
      </c>
      <c r="K27" s="254">
        <v>7000</v>
      </c>
      <c r="L27" s="154">
        <v>0</v>
      </c>
      <c r="M27" s="504">
        <f t="shared" ref="M27:M28" si="6">SUM(K27:L27)</f>
        <v>7000</v>
      </c>
      <c r="N27" s="539">
        <f t="shared" si="0"/>
        <v>20.920502092050206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36470</v>
      </c>
      <c r="J28" s="154">
        <v>36470</v>
      </c>
      <c r="K28" s="254">
        <v>9000</v>
      </c>
      <c r="L28" s="154">
        <v>0</v>
      </c>
      <c r="M28" s="504">
        <f t="shared" si="6"/>
        <v>9000</v>
      </c>
      <c r="N28" s="539">
        <f t="shared" si="0"/>
        <v>24.677817384151357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843</v>
      </c>
      <c r="J30" s="269" t="s">
        <v>843</v>
      </c>
      <c r="K30" s="321" t="s">
        <v>843</v>
      </c>
      <c r="L30" s="269"/>
      <c r="M30" s="471" t="s">
        <v>843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1540220</v>
      </c>
      <c r="J31" s="14">
        <f>J8+J12+J15+J26</f>
        <v>1540220</v>
      </c>
      <c r="K31" s="262">
        <f>K8+K12+K15+K26</f>
        <v>1541060</v>
      </c>
      <c r="L31" s="14">
        <f>L8+L12+L15+L26</f>
        <v>0</v>
      </c>
      <c r="M31" s="476">
        <f>M8+M12+M15+M26</f>
        <v>1541060</v>
      </c>
      <c r="N31" s="538">
        <f>IF(J31=0,"",M31/J31*100)</f>
        <v>100.05453766345067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1"/>
  <dimension ref="B1:N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549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527</v>
      </c>
      <c r="C7" s="7" t="s">
        <v>544</v>
      </c>
      <c r="D7" s="7" t="s">
        <v>473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521880</v>
      </c>
      <c r="J8" s="153">
        <f>SUM(J9:J10)</f>
        <v>521880</v>
      </c>
      <c r="K8" s="319">
        <f>SUM(K9:K10)</f>
        <v>587040</v>
      </c>
      <c r="L8" s="153">
        <f>SUM(L9:L10)</f>
        <v>0</v>
      </c>
      <c r="M8" s="503">
        <f>SUM(M9:M10)</f>
        <v>587040</v>
      </c>
      <c r="N8" s="538">
        <f t="shared" ref="N8:N29" si="0">IF(J8=0,"",M8/J8*100)</f>
        <v>112.48562888020234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409430+6000</f>
        <v>415430</v>
      </c>
      <c r="J9" s="154">
        <f>409430+6000</f>
        <v>415430</v>
      </c>
      <c r="K9" s="254">
        <f>471360+11790</f>
        <v>483150</v>
      </c>
      <c r="L9" s="154">
        <v>0</v>
      </c>
      <c r="M9" s="504">
        <f>SUM(K9:L9)</f>
        <v>483150</v>
      </c>
      <c r="N9" s="539">
        <f t="shared" si="0"/>
        <v>116.30118190790266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100050+16*400</f>
        <v>106450</v>
      </c>
      <c r="J10" s="154">
        <f>100050+16*400</f>
        <v>106450</v>
      </c>
      <c r="K10" s="254">
        <f>103890</f>
        <v>103890</v>
      </c>
      <c r="L10" s="154">
        <v>0</v>
      </c>
      <c r="M10" s="504">
        <f t="shared" ref="M10" si="1">SUM(K10:L10)</f>
        <v>103890</v>
      </c>
      <c r="N10" s="539">
        <f t="shared" si="0"/>
        <v>97.595115077501177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45880</v>
      </c>
      <c r="J12" s="153">
        <f t="shared" si="2"/>
        <v>45880</v>
      </c>
      <c r="K12" s="319">
        <f>K13</f>
        <v>50810</v>
      </c>
      <c r="L12" s="153">
        <f>L13</f>
        <v>0</v>
      </c>
      <c r="M12" s="503">
        <f>M13</f>
        <v>50810</v>
      </c>
      <c r="N12" s="538">
        <f t="shared" si="0"/>
        <v>110.74542284219704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45130+750</f>
        <v>45880</v>
      </c>
      <c r="J13" s="154">
        <f>45130+750</f>
        <v>45880</v>
      </c>
      <c r="K13" s="254">
        <f>49510+1300</f>
        <v>50810</v>
      </c>
      <c r="L13" s="154">
        <v>0</v>
      </c>
      <c r="M13" s="504">
        <f>SUM(K13:L13)</f>
        <v>50810</v>
      </c>
      <c r="N13" s="539">
        <f t="shared" si="0"/>
        <v>110.74542284219704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60040</v>
      </c>
      <c r="J15" s="155">
        <f>SUM(J16:J24)</f>
        <v>60040</v>
      </c>
      <c r="K15" s="320">
        <f>SUM(K16:K24)</f>
        <v>60550</v>
      </c>
      <c r="L15" s="155">
        <f>SUM(L16:L24)</f>
        <v>0</v>
      </c>
      <c r="M15" s="476">
        <f>SUM(M16:M24)</f>
        <v>60550</v>
      </c>
      <c r="N15" s="538">
        <f t="shared" si="0"/>
        <v>100.84943371085944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2500</v>
      </c>
      <c r="J16" s="154">
        <v>2500</v>
      </c>
      <c r="K16" s="254">
        <v>2500</v>
      </c>
      <c r="L16" s="154">
        <v>0</v>
      </c>
      <c r="M16" s="504">
        <f t="shared" ref="M16:M24" si="3">SUM(K16:L16)</f>
        <v>2500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22000</v>
      </c>
      <c r="J17" s="154">
        <v>22000</v>
      </c>
      <c r="K17" s="254">
        <v>25000</v>
      </c>
      <c r="L17" s="154">
        <v>0</v>
      </c>
      <c r="M17" s="504">
        <f t="shared" si="3"/>
        <v>25000</v>
      </c>
      <c r="N17" s="539">
        <f t="shared" si="0"/>
        <v>113.63636363636364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3000</v>
      </c>
      <c r="J18" s="154">
        <v>3000</v>
      </c>
      <c r="K18" s="254">
        <v>3500</v>
      </c>
      <c r="L18" s="154">
        <v>0</v>
      </c>
      <c r="M18" s="504">
        <f t="shared" si="3"/>
        <v>3500</v>
      </c>
      <c r="N18" s="539">
        <f t="shared" si="0"/>
        <v>116.66666666666667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6000</v>
      </c>
      <c r="J19" s="154">
        <v>6000</v>
      </c>
      <c r="K19" s="254">
        <v>8000</v>
      </c>
      <c r="L19" s="154">
        <v>0</v>
      </c>
      <c r="M19" s="504">
        <f t="shared" si="3"/>
        <v>8000</v>
      </c>
      <c r="N19" s="539">
        <f t="shared" si="0"/>
        <v>133.33333333333331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600</v>
      </c>
      <c r="J20" s="154">
        <v>600</v>
      </c>
      <c r="K20" s="254">
        <v>600</v>
      </c>
      <c r="L20" s="154">
        <v>0</v>
      </c>
      <c r="M20" s="504">
        <f t="shared" si="3"/>
        <v>600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4000</v>
      </c>
      <c r="J22" s="154">
        <v>4000</v>
      </c>
      <c r="K22" s="254">
        <v>5000</v>
      </c>
      <c r="L22" s="154">
        <v>0</v>
      </c>
      <c r="M22" s="504">
        <f t="shared" si="3"/>
        <v>5000</v>
      </c>
      <c r="N22" s="539">
        <f t="shared" si="0"/>
        <v>125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440</v>
      </c>
      <c r="J23" s="154">
        <v>440</v>
      </c>
      <c r="K23" s="254">
        <v>600</v>
      </c>
      <c r="L23" s="154">
        <v>0</v>
      </c>
      <c r="M23" s="504">
        <f t="shared" si="3"/>
        <v>600</v>
      </c>
      <c r="N23" s="539">
        <f t="shared" si="0"/>
        <v>136.36363636363635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21500</v>
      </c>
      <c r="J24" s="154">
        <v>21500</v>
      </c>
      <c r="K24" s="254">
        <f>14000+1350</f>
        <v>15350</v>
      </c>
      <c r="L24" s="154">
        <v>0</v>
      </c>
      <c r="M24" s="504">
        <f t="shared" si="3"/>
        <v>15350</v>
      </c>
      <c r="N24" s="539">
        <f t="shared" si="0"/>
        <v>71.395348837209298</v>
      </c>
    </row>
    <row r="25" spans="2:14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19780</v>
      </c>
      <c r="J26" s="153">
        <f t="shared" si="4"/>
        <v>19780</v>
      </c>
      <c r="K26" s="319">
        <f>SUM(K27:K28)</f>
        <v>5000</v>
      </c>
      <c r="L26" s="153">
        <f>SUM(L27:L28)</f>
        <v>0</v>
      </c>
      <c r="M26" s="476">
        <f>SUM(M27:M28)</f>
        <v>5000</v>
      </c>
      <c r="N26" s="538">
        <f t="shared" si="0"/>
        <v>25.278058645096056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14000</v>
      </c>
      <c r="J27" s="154">
        <v>14000</v>
      </c>
      <c r="K27" s="254">
        <v>0</v>
      </c>
      <c r="L27" s="154">
        <v>0</v>
      </c>
      <c r="M27" s="504">
        <f t="shared" ref="M27:M28" si="5">SUM(K27:L27)</f>
        <v>0</v>
      </c>
      <c r="N27" s="539">
        <f t="shared" si="0"/>
        <v>0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5780</v>
      </c>
      <c r="J28" s="154">
        <v>5780</v>
      </c>
      <c r="K28" s="254">
        <v>5000</v>
      </c>
      <c r="L28" s="154">
        <v>0</v>
      </c>
      <c r="M28" s="504">
        <f t="shared" si="5"/>
        <v>5000</v>
      </c>
      <c r="N28" s="539">
        <f t="shared" si="0"/>
        <v>86.505190311418687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844</v>
      </c>
      <c r="J30" s="269" t="s">
        <v>844</v>
      </c>
      <c r="K30" s="321" t="s">
        <v>894</v>
      </c>
      <c r="L30" s="269"/>
      <c r="M30" s="471" t="s">
        <v>894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647580</v>
      </c>
      <c r="J31" s="14">
        <f>J8+J12+J15+J26</f>
        <v>647580</v>
      </c>
      <c r="K31" s="262">
        <f>K8+K12+K15+K26</f>
        <v>703400</v>
      </c>
      <c r="L31" s="14">
        <f>L8+L12+L15+L26</f>
        <v>0</v>
      </c>
      <c r="M31" s="476">
        <f>M8+M12+M15+M26</f>
        <v>703400</v>
      </c>
      <c r="N31" s="538">
        <f>IF(J31=0,"",M31/J31*100)</f>
        <v>108.61978442817876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2"/>
  <dimension ref="B1:P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550</v>
      </c>
      <c r="C2" s="650"/>
      <c r="D2" s="650"/>
      <c r="E2" s="650"/>
      <c r="F2" s="650"/>
      <c r="G2" s="650"/>
      <c r="H2" s="650"/>
      <c r="I2" s="650"/>
      <c r="J2" s="676"/>
      <c r="K2" s="676"/>
      <c r="L2" s="676"/>
      <c r="M2" s="676"/>
      <c r="N2" s="677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527</v>
      </c>
      <c r="C7" s="7" t="s">
        <v>544</v>
      </c>
      <c r="D7" s="7" t="s">
        <v>551</v>
      </c>
      <c r="E7" s="286" t="s">
        <v>719</v>
      </c>
      <c r="F7" s="5"/>
      <c r="G7" s="5"/>
      <c r="H7" s="5"/>
      <c r="I7" s="270"/>
      <c r="J7" s="56"/>
      <c r="K7" s="271"/>
      <c r="L7" s="56"/>
      <c r="M7" s="514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848840</v>
      </c>
      <c r="J8" s="153">
        <f>SUM(J9:J10)</f>
        <v>848840</v>
      </c>
      <c r="K8" s="319">
        <f>SUM(K9:K10)</f>
        <v>914720</v>
      </c>
      <c r="L8" s="153">
        <f>SUM(L9:L10)</f>
        <v>0</v>
      </c>
      <c r="M8" s="503">
        <f>SUM(M9:M10)</f>
        <v>914720</v>
      </c>
      <c r="N8" s="538">
        <f t="shared" ref="N8:N29" si="0">IF(J8=0,"",M8/J8*100)</f>
        <v>107.76117996324395</v>
      </c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679840+800+2500</f>
        <v>683140</v>
      </c>
      <c r="J9" s="154">
        <f>679840+800+2500</f>
        <v>683140</v>
      </c>
      <c r="K9" s="254">
        <f>737010+2*1100+630+750+18430</f>
        <v>759020</v>
      </c>
      <c r="L9" s="154">
        <v>0</v>
      </c>
      <c r="M9" s="504">
        <f>SUM(K9:L9)</f>
        <v>759020</v>
      </c>
      <c r="N9" s="539">
        <f t="shared" si="0"/>
        <v>111.10753286295636</v>
      </c>
      <c r="P9" s="44"/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152100+1400+1000+28*400</f>
        <v>165700</v>
      </c>
      <c r="J10" s="154">
        <f>152100+1400+1000+28*400</f>
        <v>165700</v>
      </c>
      <c r="K10" s="254">
        <f>142300+7100+2*2450+1400</f>
        <v>155700</v>
      </c>
      <c r="L10" s="154">
        <v>0</v>
      </c>
      <c r="M10" s="504">
        <f t="shared" ref="M10" si="1">SUM(K10:L10)</f>
        <v>155700</v>
      </c>
      <c r="N10" s="539">
        <f t="shared" si="0"/>
        <v>93.964996982498491</v>
      </c>
      <c r="P10" s="44"/>
    </row>
    <row r="11" spans="2:16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  <c r="P11" s="44"/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76730</v>
      </c>
      <c r="J12" s="153">
        <f t="shared" si="2"/>
        <v>76730</v>
      </c>
      <c r="K12" s="319">
        <f>K13</f>
        <v>80440</v>
      </c>
      <c r="L12" s="153">
        <f>L13</f>
        <v>0</v>
      </c>
      <c r="M12" s="503">
        <f>M13</f>
        <v>80440</v>
      </c>
      <c r="N12" s="538">
        <f t="shared" si="0"/>
        <v>104.83513619184153</v>
      </c>
      <c r="P12" s="44"/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75990+220+520</f>
        <v>76730</v>
      </c>
      <c r="J13" s="154">
        <f>75990+220+520</f>
        <v>76730</v>
      </c>
      <c r="K13" s="254">
        <f>77400+2*390+230+2030</f>
        <v>80440</v>
      </c>
      <c r="L13" s="154">
        <v>0</v>
      </c>
      <c r="M13" s="504">
        <f>SUM(K13:L13)</f>
        <v>80440</v>
      </c>
      <c r="N13" s="539">
        <f t="shared" si="0"/>
        <v>104.83513619184153</v>
      </c>
      <c r="P13" s="44"/>
    </row>
    <row r="14" spans="2:16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74600</v>
      </c>
      <c r="J15" s="155">
        <f>SUM(J16:J24)</f>
        <v>74600</v>
      </c>
      <c r="K15" s="320">
        <f>SUM(K16:K24)</f>
        <v>81040</v>
      </c>
      <c r="L15" s="155">
        <f>SUM(L16:L24)</f>
        <v>0</v>
      </c>
      <c r="M15" s="476">
        <f>SUM(M16:M24)</f>
        <v>81040</v>
      </c>
      <c r="N15" s="538">
        <f t="shared" si="0"/>
        <v>108.63270777479892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3500</v>
      </c>
      <c r="J16" s="154">
        <v>3500</v>
      </c>
      <c r="K16" s="254">
        <v>3500</v>
      </c>
      <c r="L16" s="154">
        <v>0</v>
      </c>
      <c r="M16" s="504">
        <f t="shared" ref="M16:M24" si="3">SUM(K16:L16)</f>
        <v>3500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32000</v>
      </c>
      <c r="J17" s="154">
        <v>32000</v>
      </c>
      <c r="K17" s="254">
        <v>35000</v>
      </c>
      <c r="L17" s="154">
        <v>0</v>
      </c>
      <c r="M17" s="504">
        <f t="shared" si="3"/>
        <v>35000</v>
      </c>
      <c r="N17" s="539">
        <f t="shared" si="0"/>
        <v>109.375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2200</v>
      </c>
      <c r="J18" s="154">
        <v>2200</v>
      </c>
      <c r="K18" s="254">
        <v>2200</v>
      </c>
      <c r="L18" s="154">
        <v>0</v>
      </c>
      <c r="M18" s="504">
        <f t="shared" si="3"/>
        <v>2200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12000</v>
      </c>
      <c r="J19" s="154">
        <v>12000</v>
      </c>
      <c r="K19" s="254">
        <v>12000</v>
      </c>
      <c r="L19" s="154">
        <v>0</v>
      </c>
      <c r="M19" s="504">
        <f t="shared" si="3"/>
        <v>12000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1000</v>
      </c>
      <c r="J20" s="154">
        <v>1000</v>
      </c>
      <c r="K20" s="254">
        <v>1000</v>
      </c>
      <c r="L20" s="154">
        <v>0</v>
      </c>
      <c r="M20" s="504">
        <f t="shared" si="3"/>
        <v>1000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14000</v>
      </c>
      <c r="J22" s="154">
        <v>14000</v>
      </c>
      <c r="K22" s="254">
        <v>14000</v>
      </c>
      <c r="L22" s="154">
        <v>0</v>
      </c>
      <c r="M22" s="504">
        <f t="shared" si="3"/>
        <v>14000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900</v>
      </c>
      <c r="J23" s="154">
        <v>900</v>
      </c>
      <c r="K23" s="254">
        <v>820</v>
      </c>
      <c r="L23" s="154">
        <v>0</v>
      </c>
      <c r="M23" s="504">
        <f t="shared" si="3"/>
        <v>820</v>
      </c>
      <c r="N23" s="539">
        <f t="shared" si="0"/>
        <v>91.111111111111114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9000</v>
      </c>
      <c r="J24" s="154">
        <v>9000</v>
      </c>
      <c r="K24" s="254">
        <f>10000+2520</f>
        <v>12520</v>
      </c>
      <c r="L24" s="154">
        <v>0</v>
      </c>
      <c r="M24" s="504">
        <f t="shared" si="3"/>
        <v>12520</v>
      </c>
      <c r="N24" s="539">
        <f t="shared" si="0"/>
        <v>139.11111111111111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SUM(I27:I29)</f>
        <v>20000</v>
      </c>
      <c r="J26" s="153">
        <f t="shared" si="4"/>
        <v>20000</v>
      </c>
      <c r="K26" s="319">
        <f>SUM(K27:K29)</f>
        <v>20000</v>
      </c>
      <c r="L26" s="153">
        <f>SUM(L27:L29)</f>
        <v>0</v>
      </c>
      <c r="M26" s="476">
        <f>SUM(M27:M29)</f>
        <v>20000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10000</v>
      </c>
      <c r="J27" s="154">
        <v>10000</v>
      </c>
      <c r="K27" s="254">
        <v>10000</v>
      </c>
      <c r="L27" s="154">
        <v>0</v>
      </c>
      <c r="M27" s="504">
        <f t="shared" ref="M27:M28" si="5">SUM(K27:L27)</f>
        <v>10000</v>
      </c>
      <c r="N27" s="539">
        <f t="shared" si="0"/>
        <v>100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10000</v>
      </c>
      <c r="J28" s="154">
        <v>10000</v>
      </c>
      <c r="K28" s="254">
        <v>10000</v>
      </c>
      <c r="L28" s="154">
        <v>0</v>
      </c>
      <c r="M28" s="504">
        <f t="shared" si="5"/>
        <v>10000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780</v>
      </c>
      <c r="J30" s="269" t="s">
        <v>780</v>
      </c>
      <c r="K30" s="321" t="s">
        <v>780</v>
      </c>
      <c r="L30" s="269"/>
      <c r="M30" s="471" t="s">
        <v>780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1020170</v>
      </c>
      <c r="J31" s="14">
        <f>J8+J12+J15+J26</f>
        <v>1020170</v>
      </c>
      <c r="K31" s="262">
        <f>K8+K12+K15+K26</f>
        <v>1096200</v>
      </c>
      <c r="L31" s="14">
        <f>L8+L12+L15+L26</f>
        <v>0</v>
      </c>
      <c r="M31" s="476">
        <f>M8+M12+M15+M26</f>
        <v>1096200</v>
      </c>
      <c r="N31" s="538">
        <f>IF(J31=0,"",M31/J31*100)</f>
        <v>107.45267945538488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>I31+'30'!I31+'29'!I31+'28'!I31+'27'!I31+'26'!I31+'25'!I31</f>
        <v>11771170</v>
      </c>
      <c r="J32" s="14">
        <f>J31+'30'!J31+'29'!J31+'28'!J31+'27'!J31+'26'!J31+'25'!J31</f>
        <v>11771170</v>
      </c>
      <c r="K32" s="262">
        <f>K31+'30'!K31+'29'!K31+'28'!K31+'27'!K31+'26'!K31+'25'!K31</f>
        <v>12294070</v>
      </c>
      <c r="L32" s="14">
        <f>L31+'30'!L31+'29'!L31+'28'!L31+'27'!L31+'26'!L31+'25'!L31</f>
        <v>0</v>
      </c>
      <c r="M32" s="476">
        <f>M31+'30'!M31+'29'!M31+'28'!M31+'27'!M31+'26'!M31+'25'!M31</f>
        <v>12294070</v>
      </c>
      <c r="N32" s="538">
        <f>IF(J32=0,"",M32/J32*100)</f>
        <v>104.4422092281396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>I32+'24'!I32+'21'!I49</f>
        <v>22062650</v>
      </c>
      <c r="J33" s="14">
        <f>J32+'24'!J32+'21'!J49</f>
        <v>22062650</v>
      </c>
      <c r="K33" s="262">
        <f>K32+'24'!K32+'21'!K49</f>
        <v>22641910</v>
      </c>
      <c r="L33" s="14">
        <f>L32+'24'!L32+'21'!L49</f>
        <v>234700</v>
      </c>
      <c r="M33" s="476">
        <f>M32+'24'!M32+'21'!M49</f>
        <v>22876610</v>
      </c>
      <c r="N33" s="538">
        <f>IF(J33=0,"",M33/J33*100)</f>
        <v>103.68931202734034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311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6"/>
  <dimension ref="B1:O95"/>
  <sheetViews>
    <sheetView topLeftCell="D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552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553</v>
      </c>
      <c r="C7" s="7" t="s">
        <v>451</v>
      </c>
      <c r="D7" s="7" t="s">
        <v>452</v>
      </c>
      <c r="E7" s="286" t="s">
        <v>753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493370</v>
      </c>
      <c r="J8" s="153">
        <f>SUM(J9:J10)</f>
        <v>493370</v>
      </c>
      <c r="K8" s="319">
        <f>SUM(K9:K10)</f>
        <v>473060</v>
      </c>
      <c r="L8" s="153">
        <f>SUM(L9:L10)</f>
        <v>0</v>
      </c>
      <c r="M8" s="503">
        <f>SUM(M9:M10)</f>
        <v>473060</v>
      </c>
      <c r="N8" s="538">
        <f t="shared" ref="N8:N33" si="0">IF(J8=0,"",M8/J8*100)</f>
        <v>95.883414070575839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390820+700</f>
        <v>391520</v>
      </c>
      <c r="J9" s="154">
        <f>390820+700</f>
        <v>391520</v>
      </c>
      <c r="K9" s="254">
        <f>401700+630-6*3200+10050</f>
        <v>393180</v>
      </c>
      <c r="L9" s="154">
        <v>0</v>
      </c>
      <c r="M9" s="504">
        <f>SUM(K9:L9)</f>
        <v>393180</v>
      </c>
      <c r="N9" s="539">
        <f t="shared" si="0"/>
        <v>100.42398855741726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92950+500+14*400+2800</f>
        <v>101850</v>
      </c>
      <c r="J10" s="154">
        <f>92950+500+14*400+2800</f>
        <v>101850</v>
      </c>
      <c r="K10" s="254">
        <f>79740+1400-6*210</f>
        <v>79880</v>
      </c>
      <c r="L10" s="154">
        <v>0</v>
      </c>
      <c r="M10" s="504">
        <f t="shared" ref="M10" si="1">SUM(K10:L10)</f>
        <v>79880</v>
      </c>
      <c r="N10" s="539">
        <f t="shared" si="0"/>
        <v>78.429062346588125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41190</v>
      </c>
      <c r="J12" s="153">
        <f t="shared" si="2"/>
        <v>41190</v>
      </c>
      <c r="K12" s="319">
        <f>K13</f>
        <v>41430</v>
      </c>
      <c r="L12" s="153">
        <f>L13</f>
        <v>0</v>
      </c>
      <c r="M12" s="503">
        <f>M13</f>
        <v>41430</v>
      </c>
      <c r="N12" s="538">
        <f t="shared" si="0"/>
        <v>100.58266569555718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41100+90</f>
        <v>41190</v>
      </c>
      <c r="J13" s="154">
        <f>41100+90</f>
        <v>41190</v>
      </c>
      <c r="K13" s="254">
        <f>42250+230-6*360+1110</f>
        <v>41430</v>
      </c>
      <c r="L13" s="154"/>
      <c r="M13" s="504">
        <f>SUM(K13:L13)</f>
        <v>41430</v>
      </c>
      <c r="N13" s="539">
        <f t="shared" si="0"/>
        <v>100.58266569555718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38000</v>
      </c>
      <c r="J15" s="150">
        <f>SUM(J16:J24)</f>
        <v>38000</v>
      </c>
      <c r="K15" s="256">
        <f>SUM(K16:K24)</f>
        <v>40300</v>
      </c>
      <c r="L15" s="153">
        <f>SUM(L16:L24)</f>
        <v>0</v>
      </c>
      <c r="M15" s="476">
        <f>SUM(M16:M24)</f>
        <v>40300</v>
      </c>
      <c r="N15" s="538">
        <f t="shared" si="0"/>
        <v>106.05263157894737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1500</v>
      </c>
      <c r="J16" s="154">
        <v>1500</v>
      </c>
      <c r="K16" s="254">
        <v>3000</v>
      </c>
      <c r="L16" s="154">
        <v>0</v>
      </c>
      <c r="M16" s="504">
        <f t="shared" ref="M16:M24" si="3">SUM(K16:L16)</f>
        <v>3000</v>
      </c>
      <c r="N16" s="539">
        <f t="shared" si="0"/>
        <v>200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0</v>
      </c>
      <c r="J17" s="154">
        <v>0</v>
      </c>
      <c r="K17" s="254">
        <v>0</v>
      </c>
      <c r="L17" s="154">
        <v>0</v>
      </c>
      <c r="M17" s="504">
        <f t="shared" si="3"/>
        <v>0</v>
      </c>
      <c r="N17" s="539" t="str">
        <f t="shared" si="0"/>
        <v/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3000</v>
      </c>
      <c r="J18" s="154">
        <v>3000</v>
      </c>
      <c r="K18" s="254">
        <v>3000</v>
      </c>
      <c r="L18" s="154">
        <v>0</v>
      </c>
      <c r="M18" s="504">
        <f t="shared" si="3"/>
        <v>3000</v>
      </c>
      <c r="N18" s="539">
        <f t="shared" si="0"/>
        <v>100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1700</v>
      </c>
      <c r="J19" s="154">
        <v>1700</v>
      </c>
      <c r="K19" s="254">
        <v>1500</v>
      </c>
      <c r="L19" s="154">
        <v>0</v>
      </c>
      <c r="M19" s="504">
        <f t="shared" si="3"/>
        <v>1500</v>
      </c>
      <c r="N19" s="539">
        <f t="shared" si="0"/>
        <v>88.235294117647058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0</v>
      </c>
      <c r="J20" s="154">
        <v>0</v>
      </c>
      <c r="K20" s="254">
        <v>0</v>
      </c>
      <c r="L20" s="154">
        <v>0</v>
      </c>
      <c r="M20" s="504">
        <f t="shared" si="3"/>
        <v>0</v>
      </c>
      <c r="N20" s="539" t="str">
        <f t="shared" si="0"/>
        <v/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800</v>
      </c>
      <c r="J22" s="154">
        <v>800</v>
      </c>
      <c r="K22" s="254">
        <v>1000</v>
      </c>
      <c r="L22" s="154">
        <v>0</v>
      </c>
      <c r="M22" s="504">
        <f t="shared" si="3"/>
        <v>1000</v>
      </c>
      <c r="N22" s="539">
        <f t="shared" si="0"/>
        <v>125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0</v>
      </c>
      <c r="J23" s="154">
        <v>0</v>
      </c>
      <c r="K23" s="254">
        <v>800</v>
      </c>
      <c r="L23" s="154">
        <v>0</v>
      </c>
      <c r="M23" s="504">
        <f t="shared" si="3"/>
        <v>800</v>
      </c>
      <c r="N23" s="539" t="str">
        <f t="shared" si="0"/>
        <v/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31000</v>
      </c>
      <c r="J24" s="154">
        <v>31000</v>
      </c>
      <c r="K24" s="254">
        <v>31000</v>
      </c>
      <c r="L24" s="154">
        <v>0</v>
      </c>
      <c r="M24" s="504">
        <f t="shared" si="3"/>
        <v>31000</v>
      </c>
      <c r="N24" s="539">
        <f t="shared" si="0"/>
        <v>100</v>
      </c>
      <c r="O24" s="277"/>
    </row>
    <row r="25" spans="2:15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614000</v>
      </c>
      <c r="G26" s="135"/>
      <c r="H26" s="23" t="s">
        <v>339</v>
      </c>
      <c r="I26" s="153">
        <f>I27+I28</f>
        <v>2100000</v>
      </c>
      <c r="J26" s="153">
        <f t="shared" ref="J26" si="4">J27+J28</f>
        <v>2100000</v>
      </c>
      <c r="K26" s="325">
        <f>SUM(K27:K28)</f>
        <v>2100000</v>
      </c>
      <c r="L26" s="153">
        <f>SUM(L27:L28)</f>
        <v>0</v>
      </c>
      <c r="M26" s="476">
        <f>SUM(M27:M28)</f>
        <v>2100000</v>
      </c>
      <c r="N26" s="538">
        <f t="shared" si="0"/>
        <v>100</v>
      </c>
    </row>
    <row r="27" spans="2:15" ht="12.95" customHeight="1" x14ac:dyDescent="0.2">
      <c r="B27" s="10"/>
      <c r="C27" s="11"/>
      <c r="D27" s="11"/>
      <c r="E27" s="11"/>
      <c r="F27" s="122">
        <v>614200</v>
      </c>
      <c r="G27" s="136" t="s">
        <v>370</v>
      </c>
      <c r="H27" s="343" t="s">
        <v>554</v>
      </c>
      <c r="I27" s="154">
        <v>2100000</v>
      </c>
      <c r="J27" s="154">
        <v>2100000</v>
      </c>
      <c r="K27" s="254">
        <v>1900000</v>
      </c>
      <c r="L27" s="154">
        <v>0</v>
      </c>
      <c r="M27" s="504">
        <f>SUM(K27:L27)</f>
        <v>1900000</v>
      </c>
      <c r="N27" s="539">
        <f t="shared" si="0"/>
        <v>90.476190476190482</v>
      </c>
    </row>
    <row r="28" spans="2:15" ht="25.5" customHeight="1" x14ac:dyDescent="0.2">
      <c r="B28" s="10"/>
      <c r="C28" s="11"/>
      <c r="D28" s="11"/>
      <c r="E28" s="11"/>
      <c r="F28" s="122">
        <v>614300</v>
      </c>
      <c r="G28" s="136"/>
      <c r="H28" s="544" t="s">
        <v>898</v>
      </c>
      <c r="I28" s="154">
        <v>0</v>
      </c>
      <c r="J28" s="154">
        <v>0</v>
      </c>
      <c r="K28" s="254">
        <v>200000</v>
      </c>
      <c r="L28" s="154">
        <v>0</v>
      </c>
      <c r="M28" s="504">
        <f>SUM(K28:L28)</f>
        <v>200000</v>
      </c>
      <c r="N28" s="539" t="str">
        <f t="shared" si="0"/>
        <v/>
      </c>
    </row>
    <row r="29" spans="2:15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5" s="1" customFormat="1" ht="12.95" customHeight="1" x14ac:dyDescent="0.25">
      <c r="B30" s="12"/>
      <c r="C30" s="8"/>
      <c r="D30" s="8"/>
      <c r="E30" s="8"/>
      <c r="F30" s="121">
        <v>821000</v>
      </c>
      <c r="G30" s="135"/>
      <c r="H30" s="23" t="s">
        <v>427</v>
      </c>
      <c r="I30" s="153">
        <f t="shared" ref="I30:J30" si="5">SUM(I31:I32)</f>
        <v>6000</v>
      </c>
      <c r="J30" s="153">
        <f t="shared" si="5"/>
        <v>6000</v>
      </c>
      <c r="K30" s="319">
        <f t="shared" ref="K30" si="6">SUM(K31:K32)</f>
        <v>7000</v>
      </c>
      <c r="L30" s="153">
        <f>SUM(L31:L32)</f>
        <v>0</v>
      </c>
      <c r="M30" s="476">
        <f>SUM(M31:M32)</f>
        <v>7000</v>
      </c>
      <c r="N30" s="539">
        <f t="shared" si="0"/>
        <v>116.66666666666667</v>
      </c>
    </row>
    <row r="31" spans="2:15" ht="12.95" customHeight="1" x14ac:dyDescent="0.2">
      <c r="B31" s="10"/>
      <c r="C31" s="11"/>
      <c r="D31" s="11"/>
      <c r="E31" s="11"/>
      <c r="F31" s="122">
        <v>821200</v>
      </c>
      <c r="G31" s="136"/>
      <c r="H31" s="22" t="s">
        <v>429</v>
      </c>
      <c r="I31" s="154">
        <v>0</v>
      </c>
      <c r="J31" s="154">
        <v>0</v>
      </c>
      <c r="K31" s="254">
        <v>0</v>
      </c>
      <c r="L31" s="154">
        <v>0</v>
      </c>
      <c r="M31" s="504">
        <f t="shared" ref="M31:M32" si="7">SUM(K31:L31)</f>
        <v>0</v>
      </c>
      <c r="N31" s="539" t="str">
        <f t="shared" si="0"/>
        <v/>
      </c>
    </row>
    <row r="32" spans="2:15" ht="12.95" customHeight="1" x14ac:dyDescent="0.2">
      <c r="B32" s="10"/>
      <c r="C32" s="11"/>
      <c r="D32" s="11"/>
      <c r="E32" s="11"/>
      <c r="F32" s="122">
        <v>821300</v>
      </c>
      <c r="G32" s="136"/>
      <c r="H32" s="22" t="s">
        <v>430</v>
      </c>
      <c r="I32" s="154">
        <v>6000</v>
      </c>
      <c r="J32" s="154">
        <v>6000</v>
      </c>
      <c r="K32" s="254">
        <v>7000</v>
      </c>
      <c r="L32" s="154">
        <v>0</v>
      </c>
      <c r="M32" s="504">
        <f t="shared" si="7"/>
        <v>7000</v>
      </c>
      <c r="N32" s="539">
        <f t="shared" si="0"/>
        <v>116.66666666666667</v>
      </c>
    </row>
    <row r="33" spans="2:14" ht="12.95" customHeight="1" x14ac:dyDescent="0.2">
      <c r="B33" s="10"/>
      <c r="C33" s="11"/>
      <c r="D33" s="11"/>
      <c r="E33" s="11"/>
      <c r="F33" s="122"/>
      <c r="G33" s="136"/>
      <c r="H33" s="22"/>
      <c r="I33" s="154"/>
      <c r="J33" s="154"/>
      <c r="K33" s="254"/>
      <c r="L33" s="154"/>
      <c r="M33" s="478"/>
      <c r="N33" s="539" t="str">
        <f t="shared" si="0"/>
        <v/>
      </c>
    </row>
    <row r="34" spans="2:14" s="1" customFormat="1" ht="12.95" customHeight="1" x14ac:dyDescent="0.25">
      <c r="B34" s="12"/>
      <c r="C34" s="8"/>
      <c r="D34" s="8"/>
      <c r="E34" s="8"/>
      <c r="F34" s="121"/>
      <c r="G34" s="135"/>
      <c r="H34" s="23" t="s">
        <v>441</v>
      </c>
      <c r="I34" s="269" t="s">
        <v>539</v>
      </c>
      <c r="J34" s="269" t="s">
        <v>539</v>
      </c>
      <c r="K34" s="321" t="s">
        <v>539</v>
      </c>
      <c r="L34" s="153"/>
      <c r="M34" s="471" t="s">
        <v>539</v>
      </c>
      <c r="N34" s="539"/>
    </row>
    <row r="35" spans="2:14" s="1" customFormat="1" ht="12.95" customHeight="1" x14ac:dyDescent="0.25">
      <c r="B35" s="12"/>
      <c r="C35" s="8"/>
      <c r="D35" s="8"/>
      <c r="E35" s="8"/>
      <c r="F35" s="121"/>
      <c r="G35" s="135"/>
      <c r="H35" s="8" t="s">
        <v>453</v>
      </c>
      <c r="I35" s="14">
        <f>I8+I12+I15+I26+I30</f>
        <v>2678560</v>
      </c>
      <c r="J35" s="14">
        <f>J8+J12+J15+J26+J30</f>
        <v>2678560</v>
      </c>
      <c r="K35" s="262">
        <f>K8+K12+K15+K26+K30</f>
        <v>2661790</v>
      </c>
      <c r="L35" s="14">
        <f>L8+L12+L15+L26+L30</f>
        <v>0</v>
      </c>
      <c r="M35" s="476">
        <f>M8+M12+M15+M26+M30</f>
        <v>2661790</v>
      </c>
      <c r="N35" s="538">
        <f>IF(J35=0,"",M35/J35*100)</f>
        <v>99.373917328713929</v>
      </c>
    </row>
    <row r="36" spans="2:14" s="1" customFormat="1" ht="12.95" customHeight="1" x14ac:dyDescent="0.25">
      <c r="B36" s="12"/>
      <c r="C36" s="8"/>
      <c r="D36" s="8"/>
      <c r="E36" s="8"/>
      <c r="F36" s="121"/>
      <c r="G36" s="135"/>
      <c r="H36" s="8" t="s">
        <v>454</v>
      </c>
      <c r="I36" s="14">
        <f t="shared" ref="I36:I37" si="8">I35</f>
        <v>2678560</v>
      </c>
      <c r="J36" s="14">
        <f t="shared" ref="J36" si="9">J35</f>
        <v>2678560</v>
      </c>
      <c r="K36" s="262">
        <f t="shared" ref="K36:M37" si="10">K35</f>
        <v>2661790</v>
      </c>
      <c r="L36" s="14">
        <f t="shared" si="10"/>
        <v>0</v>
      </c>
      <c r="M36" s="476">
        <f t="shared" si="10"/>
        <v>2661790</v>
      </c>
      <c r="N36" s="538">
        <f>IF(J36=0,"",M36/J36*100)</f>
        <v>99.373917328713929</v>
      </c>
    </row>
    <row r="37" spans="2:14" s="1" customFormat="1" ht="12.95" customHeight="1" x14ac:dyDescent="0.25">
      <c r="B37" s="12"/>
      <c r="C37" s="8"/>
      <c r="D37" s="8"/>
      <c r="E37" s="8"/>
      <c r="F37" s="121"/>
      <c r="G37" s="135"/>
      <c r="H37" s="8" t="s">
        <v>455</v>
      </c>
      <c r="I37" s="14">
        <f t="shared" si="8"/>
        <v>2678560</v>
      </c>
      <c r="J37" s="14">
        <f t="shared" ref="J37" si="11">J36</f>
        <v>2678560</v>
      </c>
      <c r="K37" s="262">
        <f t="shared" si="10"/>
        <v>2661790</v>
      </c>
      <c r="L37" s="14">
        <f t="shared" si="10"/>
        <v>0</v>
      </c>
      <c r="M37" s="476">
        <f t="shared" si="10"/>
        <v>2661790</v>
      </c>
      <c r="N37" s="538">
        <f>IF(J37=0,"",M37/J37*100)</f>
        <v>99.373917328713929</v>
      </c>
    </row>
    <row r="38" spans="2:14" ht="12.95" customHeight="1" thickBot="1" x14ac:dyDescent="0.25">
      <c r="B38" s="15"/>
      <c r="C38" s="16"/>
      <c r="D38" s="16"/>
      <c r="E38" s="16"/>
      <c r="F38" s="123"/>
      <c r="G38" s="137"/>
      <c r="H38" s="16"/>
      <c r="I38" s="29"/>
      <c r="J38" s="29"/>
      <c r="K38" s="263"/>
      <c r="L38" s="29"/>
      <c r="M38" s="505"/>
      <c r="N38" s="540"/>
    </row>
    <row r="39" spans="2:14" ht="12.95" customHeight="1" x14ac:dyDescent="0.2">
      <c r="F39" s="124"/>
      <c r="G39" s="138"/>
      <c r="K39" s="54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2.95" customHeight="1" x14ac:dyDescent="0.2">
      <c r="F58" s="124"/>
      <c r="G58" s="138"/>
      <c r="M58" s="162"/>
    </row>
    <row r="59" spans="6:13" ht="17.100000000000001" customHeight="1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38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ht="14.25" x14ac:dyDescent="0.2">
      <c r="F89" s="124"/>
      <c r="G89" s="124"/>
      <c r="M89" s="162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7"/>
  <dimension ref="B1:N94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555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556</v>
      </c>
      <c r="C7" s="7" t="s">
        <v>451</v>
      </c>
      <c r="D7" s="7" t="s">
        <v>452</v>
      </c>
      <c r="E7" s="286" t="s">
        <v>662</v>
      </c>
      <c r="F7" s="5"/>
      <c r="G7" s="5"/>
      <c r="H7" s="5"/>
      <c r="I7" s="258"/>
      <c r="J7" s="5"/>
      <c r="K7" s="4"/>
      <c r="L7" s="5"/>
      <c r="M7" s="502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167280</v>
      </c>
      <c r="J8" s="153">
        <f>SUM(J9:J10)</f>
        <v>167280</v>
      </c>
      <c r="K8" s="319">
        <f>SUM(K9:K10)</f>
        <v>153840</v>
      </c>
      <c r="L8" s="153">
        <f>SUM(L9:L10)</f>
        <v>0</v>
      </c>
      <c r="M8" s="503">
        <f>SUM(M9:M10)</f>
        <v>153840</v>
      </c>
      <c r="N8" s="538">
        <f t="shared" ref="N8:N29" si="0">IF(J8=0,"",M8/J8*100)</f>
        <v>91.965566714490677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138170+100</f>
        <v>138270</v>
      </c>
      <c r="J9" s="151">
        <f>138170+100</f>
        <v>138270</v>
      </c>
      <c r="K9" s="253">
        <f>141760+4600-2760*8+3550</f>
        <v>127830</v>
      </c>
      <c r="L9" s="151">
        <v>0</v>
      </c>
      <c r="M9" s="504">
        <f>SUM(K9:L9)</f>
        <v>127830</v>
      </c>
      <c r="N9" s="539">
        <f t="shared" si="0"/>
        <v>92.449555218051643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21750+5560+100+4*400</f>
        <v>29010</v>
      </c>
      <c r="J10" s="151">
        <f>21750+5560+100+4*400</f>
        <v>29010</v>
      </c>
      <c r="K10" s="253">
        <f>17510+10850-2350</f>
        <v>26010</v>
      </c>
      <c r="L10" s="151">
        <v>0</v>
      </c>
      <c r="M10" s="504">
        <f t="shared" ref="M10" si="1">SUM(K10:L10)</f>
        <v>26010</v>
      </c>
      <c r="N10" s="539">
        <f t="shared" si="0"/>
        <v>89.658738366080655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4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14580</v>
      </c>
      <c r="J12" s="153">
        <f t="shared" si="2"/>
        <v>14580</v>
      </c>
      <c r="K12" s="319">
        <f>K13</f>
        <v>12800</v>
      </c>
      <c r="L12" s="153">
        <f>L13</f>
        <v>0</v>
      </c>
      <c r="M12" s="503">
        <f>M13</f>
        <v>12800</v>
      </c>
      <c r="N12" s="538">
        <f t="shared" si="0"/>
        <v>87.791495198902609</v>
      </c>
    </row>
    <row r="13" spans="2:14" s="1" customFormat="1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14560+20</f>
        <v>14580</v>
      </c>
      <c r="J13" s="151">
        <f>14560+20</f>
        <v>14580</v>
      </c>
      <c r="K13" s="253">
        <f>14890-310*8+390</f>
        <v>12800</v>
      </c>
      <c r="L13" s="151">
        <v>0</v>
      </c>
      <c r="M13" s="504">
        <f>SUM(K13:L13)</f>
        <v>12800</v>
      </c>
      <c r="N13" s="539">
        <f t="shared" si="0"/>
        <v>87.791495198902609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4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30200</v>
      </c>
      <c r="J15" s="155">
        <f>SUM(J16:J24)</f>
        <v>30200</v>
      </c>
      <c r="K15" s="320">
        <f>SUM(K16:K24)</f>
        <v>33400</v>
      </c>
      <c r="L15" s="155">
        <f>SUM(L16:L24)</f>
        <v>0</v>
      </c>
      <c r="M15" s="476">
        <f>SUM(M16:M24)</f>
        <v>33400</v>
      </c>
      <c r="N15" s="538">
        <f t="shared" si="0"/>
        <v>110.59602649006624</v>
      </c>
    </row>
    <row r="16" spans="2:14" s="1" customFormat="1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600</v>
      </c>
      <c r="J16" s="151">
        <v>600</v>
      </c>
      <c r="K16" s="253">
        <v>800</v>
      </c>
      <c r="L16" s="151">
        <v>0</v>
      </c>
      <c r="M16" s="504">
        <f t="shared" ref="M16:M24" si="3">SUM(K16:L16)</f>
        <v>800</v>
      </c>
      <c r="N16" s="539">
        <f t="shared" si="0"/>
        <v>133.33333333333331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8000</v>
      </c>
      <c r="J17" s="151">
        <v>8000</v>
      </c>
      <c r="K17" s="253">
        <v>9500</v>
      </c>
      <c r="L17" s="151">
        <v>0</v>
      </c>
      <c r="M17" s="504">
        <f t="shared" si="3"/>
        <v>9500</v>
      </c>
      <c r="N17" s="539">
        <f t="shared" si="0"/>
        <v>118.75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2500</v>
      </c>
      <c r="J18" s="151">
        <v>2500</v>
      </c>
      <c r="K18" s="253">
        <v>3300</v>
      </c>
      <c r="L18" s="151">
        <v>0</v>
      </c>
      <c r="M18" s="504">
        <f t="shared" si="3"/>
        <v>3300</v>
      </c>
      <c r="N18" s="539">
        <f t="shared" si="0"/>
        <v>132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1500</v>
      </c>
      <c r="J19" s="151">
        <v>1500</v>
      </c>
      <c r="K19" s="253">
        <v>1800</v>
      </c>
      <c r="L19" s="151">
        <v>0</v>
      </c>
      <c r="M19" s="504">
        <f t="shared" si="3"/>
        <v>1800</v>
      </c>
      <c r="N19" s="539">
        <f t="shared" si="0"/>
        <v>120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1100</v>
      </c>
      <c r="J22" s="151">
        <v>1100</v>
      </c>
      <c r="K22" s="253">
        <v>1500</v>
      </c>
      <c r="L22" s="151">
        <v>0</v>
      </c>
      <c r="M22" s="504">
        <f t="shared" si="3"/>
        <v>1500</v>
      </c>
      <c r="N22" s="539">
        <f t="shared" si="0"/>
        <v>136.36363636363635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16500</v>
      </c>
      <c r="J24" s="151">
        <v>16500</v>
      </c>
      <c r="K24" s="253">
        <v>16500</v>
      </c>
      <c r="L24" s="151">
        <v>0</v>
      </c>
      <c r="M24" s="504">
        <f t="shared" si="3"/>
        <v>16500</v>
      </c>
      <c r="N24" s="539">
        <f t="shared" si="0"/>
        <v>100</v>
      </c>
    </row>
    <row r="25" spans="2:14" ht="12.95" customHeight="1" x14ac:dyDescent="0.25">
      <c r="B25" s="12"/>
      <c r="C25" s="8"/>
      <c r="D25" s="8"/>
      <c r="E25" s="8"/>
      <c r="F25" s="121"/>
      <c r="G25" s="135"/>
      <c r="H25" s="23"/>
      <c r="I25" s="153"/>
      <c r="J25" s="153"/>
      <c r="K25" s="319"/>
      <c r="L25" s="153"/>
      <c r="M25" s="476"/>
      <c r="N25" s="539" t="str">
        <f t="shared" si="0"/>
        <v/>
      </c>
    </row>
    <row r="26" spans="2:14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0</v>
      </c>
      <c r="J26" s="153">
        <f t="shared" si="4"/>
        <v>0</v>
      </c>
      <c r="K26" s="319">
        <f>SUM(K27:K28)</f>
        <v>0</v>
      </c>
      <c r="L26" s="153">
        <f>SUM(L27:L28)</f>
        <v>0</v>
      </c>
      <c r="M26" s="476">
        <f>SUM(M27:M28)</f>
        <v>0</v>
      </c>
      <c r="N26" s="538" t="str">
        <f t="shared" si="0"/>
        <v/>
      </c>
    </row>
    <row r="27" spans="2:14" s="1" customFormat="1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0</v>
      </c>
      <c r="J28" s="151">
        <v>0</v>
      </c>
      <c r="K28" s="253">
        <v>0</v>
      </c>
      <c r="L28" s="151">
        <v>0</v>
      </c>
      <c r="M28" s="504">
        <f t="shared" si="5"/>
        <v>0</v>
      </c>
      <c r="N28" s="539" t="str">
        <f t="shared" si="0"/>
        <v/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1"/>
      <c r="J29" s="151"/>
      <c r="K29" s="253"/>
      <c r="L29" s="151"/>
      <c r="M29" s="478"/>
      <c r="N29" s="539" t="str">
        <f t="shared" si="0"/>
        <v/>
      </c>
    </row>
    <row r="30" spans="2:14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4</v>
      </c>
      <c r="J30" s="153">
        <v>4</v>
      </c>
      <c r="K30" s="319">
        <v>3</v>
      </c>
      <c r="L30" s="153"/>
      <c r="M30" s="476">
        <v>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212060</v>
      </c>
      <c r="J31" s="14">
        <f>J8+J12+J15+J26</f>
        <v>212060</v>
      </c>
      <c r="K31" s="262">
        <f>K8+K12+K15+K26</f>
        <v>200040</v>
      </c>
      <c r="L31" s="14">
        <f>L8+L12+L15+L26</f>
        <v>0</v>
      </c>
      <c r="M31" s="476">
        <f>M8+M12+M15+M26</f>
        <v>200040</v>
      </c>
      <c r="N31" s="538">
        <f>IF(J31=0,"",M31/J31*100)</f>
        <v>94.331792888805055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 t="shared" ref="I32" si="6">I31</f>
        <v>212060</v>
      </c>
      <c r="J32" s="14">
        <f t="shared" ref="J32" si="7">J31</f>
        <v>212060</v>
      </c>
      <c r="K32" s="262">
        <f t="shared" ref="K32:M33" si="8">K31</f>
        <v>200040</v>
      </c>
      <c r="L32" s="14">
        <f t="shared" si="8"/>
        <v>0</v>
      </c>
      <c r="M32" s="476">
        <f t="shared" si="8"/>
        <v>200040</v>
      </c>
      <c r="N32" s="538">
        <f>IF(J32=0,"",M32/J32*100)</f>
        <v>94.331792888805055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ref="I33" si="9">I32</f>
        <v>212060</v>
      </c>
      <c r="J33" s="14">
        <f t="shared" ref="J33" si="10">J32</f>
        <v>212060</v>
      </c>
      <c r="K33" s="262">
        <f t="shared" si="8"/>
        <v>200040</v>
      </c>
      <c r="L33" s="14">
        <f t="shared" si="8"/>
        <v>0</v>
      </c>
      <c r="M33" s="476">
        <f t="shared" si="8"/>
        <v>200040</v>
      </c>
      <c r="N33" s="538">
        <f>IF(J33=0,"",M33/J33*100)</f>
        <v>94.331792888805055</v>
      </c>
    </row>
    <row r="34" spans="2:14" s="1" customFormat="1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543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8"/>
  <dimension ref="B1:O95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557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558</v>
      </c>
      <c r="C7" s="7" t="s">
        <v>451</v>
      </c>
      <c r="D7" s="7" t="s">
        <v>452</v>
      </c>
      <c r="E7" s="286" t="s">
        <v>634</v>
      </c>
      <c r="F7" s="5"/>
      <c r="G7" s="5"/>
      <c r="H7" s="5"/>
      <c r="I7" s="258"/>
      <c r="J7" s="5"/>
      <c r="K7" s="4"/>
      <c r="L7" s="5"/>
      <c r="M7" s="502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SUM(I9:I11)</f>
        <v>1203050</v>
      </c>
      <c r="J8" s="153">
        <f>SUM(J9:J11)</f>
        <v>1203050</v>
      </c>
      <c r="K8" s="319">
        <f>SUM(K9:K11)</f>
        <v>1209120</v>
      </c>
      <c r="L8" s="153">
        <f>SUM(L9:L11)</f>
        <v>0</v>
      </c>
      <c r="M8" s="503">
        <f>SUM(M9:M11)</f>
        <v>1209120</v>
      </c>
      <c r="N8" s="538">
        <f t="shared" ref="N8:N34" si="0">IF(J8=0,"",M8/J8*100)</f>
        <v>100.50455093304518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980300+1350+700</f>
        <v>982350</v>
      </c>
      <c r="J9" s="151">
        <f>980300+1350+700</f>
        <v>982350</v>
      </c>
      <c r="K9" s="253">
        <f>968670+1100+6*2700+3*6*1900+24220-18900</f>
        <v>1025490</v>
      </c>
      <c r="L9" s="151">
        <v>0</v>
      </c>
      <c r="M9" s="504">
        <f>SUM(K9:L9)</f>
        <v>1025490</v>
      </c>
      <c r="N9" s="539">
        <f t="shared" si="0"/>
        <v>104.391510154222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195100+8750+2450+36*400</f>
        <v>220700</v>
      </c>
      <c r="J10" s="151">
        <f>195100+8750+2450+36*400</f>
        <v>220700</v>
      </c>
      <c r="K10" s="253">
        <f>173080+2450+12400-4300</f>
        <v>183630</v>
      </c>
      <c r="L10" s="151">
        <v>0</v>
      </c>
      <c r="M10" s="504">
        <f t="shared" ref="M10" si="1">SUM(K10:L10)</f>
        <v>183630</v>
      </c>
      <c r="N10" s="539">
        <f t="shared" si="0"/>
        <v>83.203443588581777</v>
      </c>
    </row>
    <row r="11" spans="2:14" ht="12.95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120920</v>
      </c>
      <c r="J12" s="153">
        <f t="shared" si="2"/>
        <v>120920</v>
      </c>
      <c r="K12" s="319">
        <f>K13</f>
        <v>125100</v>
      </c>
      <c r="L12" s="153">
        <f>L13</f>
        <v>0</v>
      </c>
      <c r="M12" s="503">
        <f>M13</f>
        <v>125100</v>
      </c>
      <c r="N12" s="538">
        <f t="shared" si="0"/>
        <v>103.4568309626199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120330+390+200</f>
        <v>120920</v>
      </c>
      <c r="J13" s="151">
        <f>120330+390+200</f>
        <v>120920</v>
      </c>
      <c r="K13" s="253">
        <f>118500+390+6*310+3*6*210+2670-2100</f>
        <v>125100</v>
      </c>
      <c r="L13" s="151">
        <v>0</v>
      </c>
      <c r="M13" s="504">
        <f>SUM(K13:L13)</f>
        <v>125100</v>
      </c>
      <c r="N13" s="539">
        <f t="shared" si="0"/>
        <v>103.4568309626199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5"/>
      <c r="J14" s="155"/>
      <c r="K14" s="320"/>
      <c r="L14" s="155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157300</v>
      </c>
      <c r="J15" s="155">
        <f>SUM(J16:J24)</f>
        <v>157300</v>
      </c>
      <c r="K15" s="320">
        <f>SUM(K16:K24)</f>
        <v>175100</v>
      </c>
      <c r="L15" s="155">
        <f>SUM(L16:L24)</f>
        <v>0</v>
      </c>
      <c r="M15" s="476">
        <f>SUM(M16:M24)</f>
        <v>175100</v>
      </c>
      <c r="N15" s="538">
        <f t="shared" si="0"/>
        <v>111.31595677050224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3500</v>
      </c>
      <c r="J16" s="151">
        <v>3500</v>
      </c>
      <c r="K16" s="253">
        <v>5250</v>
      </c>
      <c r="L16" s="151">
        <v>0</v>
      </c>
      <c r="M16" s="504">
        <f t="shared" ref="M16:M24" si="3">SUM(K16:L16)</f>
        <v>5250</v>
      </c>
      <c r="N16" s="539">
        <f t="shared" si="0"/>
        <v>150</v>
      </c>
    </row>
    <row r="17" spans="2:15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23000</v>
      </c>
      <c r="J17" s="151">
        <v>23000</v>
      </c>
      <c r="K17" s="253">
        <v>24150</v>
      </c>
      <c r="L17" s="151">
        <v>0</v>
      </c>
      <c r="M17" s="504">
        <f t="shared" si="3"/>
        <v>24150</v>
      </c>
      <c r="N17" s="539">
        <f t="shared" si="0"/>
        <v>105</v>
      </c>
    </row>
    <row r="18" spans="2:15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9000</v>
      </c>
      <c r="J18" s="151">
        <v>9000</v>
      </c>
      <c r="K18" s="253">
        <v>10000</v>
      </c>
      <c r="L18" s="151">
        <v>0</v>
      </c>
      <c r="M18" s="504">
        <f t="shared" si="3"/>
        <v>10000</v>
      </c>
      <c r="N18" s="539">
        <f t="shared" si="0"/>
        <v>111.11111111111111</v>
      </c>
    </row>
    <row r="19" spans="2:15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54000</v>
      </c>
      <c r="J19" s="151">
        <v>54000</v>
      </c>
      <c r="K19" s="253">
        <v>56700</v>
      </c>
      <c r="L19" s="151">
        <v>0</v>
      </c>
      <c r="M19" s="504">
        <f t="shared" si="3"/>
        <v>56700</v>
      </c>
      <c r="N19" s="539">
        <f t="shared" si="0"/>
        <v>105</v>
      </c>
    </row>
    <row r="20" spans="2:15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13000</v>
      </c>
      <c r="J20" s="151">
        <v>13000</v>
      </c>
      <c r="K20" s="253">
        <v>20000</v>
      </c>
      <c r="L20" s="151">
        <v>0</v>
      </c>
      <c r="M20" s="504">
        <f t="shared" si="3"/>
        <v>20000</v>
      </c>
      <c r="N20" s="539">
        <f t="shared" si="0"/>
        <v>153.84615384615387</v>
      </c>
    </row>
    <row r="21" spans="2:15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5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20000</v>
      </c>
      <c r="J22" s="151">
        <v>20000</v>
      </c>
      <c r="K22" s="253">
        <v>21000</v>
      </c>
      <c r="L22" s="151">
        <v>0</v>
      </c>
      <c r="M22" s="504">
        <f t="shared" si="3"/>
        <v>21000</v>
      </c>
      <c r="N22" s="539">
        <f t="shared" si="0"/>
        <v>105</v>
      </c>
    </row>
    <row r="23" spans="2:15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4800</v>
      </c>
      <c r="J23" s="151">
        <v>4800</v>
      </c>
      <c r="K23" s="253">
        <v>8000</v>
      </c>
      <c r="L23" s="151">
        <v>0</v>
      </c>
      <c r="M23" s="504">
        <f t="shared" si="3"/>
        <v>8000</v>
      </c>
      <c r="N23" s="539">
        <f t="shared" si="0"/>
        <v>166.66666666666669</v>
      </c>
    </row>
    <row r="24" spans="2:15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30000</v>
      </c>
      <c r="J24" s="151">
        <v>30000</v>
      </c>
      <c r="K24" s="253">
        <v>30000</v>
      </c>
      <c r="L24" s="151">
        <v>0</v>
      </c>
      <c r="M24" s="504">
        <f t="shared" si="3"/>
        <v>30000</v>
      </c>
      <c r="N24" s="539">
        <f t="shared" si="0"/>
        <v>100</v>
      </c>
    </row>
    <row r="25" spans="2:15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5" s="1" customFormat="1" ht="12.95" customHeight="1" x14ac:dyDescent="0.25">
      <c r="B26" s="12"/>
      <c r="C26" s="8"/>
      <c r="D26" s="8"/>
      <c r="E26" s="8"/>
      <c r="F26" s="121">
        <v>614000</v>
      </c>
      <c r="G26" s="135"/>
      <c r="H26" s="23" t="s">
        <v>339</v>
      </c>
      <c r="I26" s="153">
        <f t="shared" ref="I26" si="4">I27+I28</f>
        <v>590000</v>
      </c>
      <c r="J26" s="153">
        <f t="shared" ref="J26" si="5">J27+J28</f>
        <v>590000</v>
      </c>
      <c r="K26" s="319">
        <f t="shared" ref="K26:M26" si="6">K27+K28</f>
        <v>0</v>
      </c>
      <c r="L26" s="153">
        <f t="shared" si="6"/>
        <v>100000</v>
      </c>
      <c r="M26" s="476">
        <f t="shared" si="6"/>
        <v>100000</v>
      </c>
      <c r="N26" s="538">
        <f t="shared" si="0"/>
        <v>16.949152542372879</v>
      </c>
    </row>
    <row r="27" spans="2:15" ht="12.95" customHeight="1" x14ac:dyDescent="0.2">
      <c r="B27" s="10"/>
      <c r="C27" s="11"/>
      <c r="D27" s="11"/>
      <c r="E27" s="11"/>
      <c r="F27" s="122">
        <v>614100</v>
      </c>
      <c r="G27" s="136" t="s">
        <v>795</v>
      </c>
      <c r="H27" s="293" t="s">
        <v>791</v>
      </c>
      <c r="I27" s="151">
        <v>500000</v>
      </c>
      <c r="J27" s="151">
        <v>500000</v>
      </c>
      <c r="K27" s="253">
        <v>0</v>
      </c>
      <c r="L27" s="151">
        <v>0</v>
      </c>
      <c r="M27" s="504">
        <f t="shared" ref="M27" si="7">SUM(K27:L27)</f>
        <v>0</v>
      </c>
      <c r="N27" s="539">
        <f t="shared" ref="N27" si="8">IF(J27=0,"",M27/J27*100)</f>
        <v>0</v>
      </c>
    </row>
    <row r="28" spans="2:15" ht="12.95" customHeight="1" x14ac:dyDescent="0.2">
      <c r="B28" s="10"/>
      <c r="C28" s="11"/>
      <c r="D28" s="11"/>
      <c r="E28" s="11"/>
      <c r="F28" s="122">
        <v>614200</v>
      </c>
      <c r="G28" s="136" t="s">
        <v>371</v>
      </c>
      <c r="H28" s="22" t="s">
        <v>559</v>
      </c>
      <c r="I28" s="151">
        <v>90000</v>
      </c>
      <c r="J28" s="151">
        <v>90000</v>
      </c>
      <c r="K28" s="253">
        <v>0</v>
      </c>
      <c r="L28" s="151">
        <v>100000</v>
      </c>
      <c r="M28" s="504">
        <f t="shared" ref="M28" si="9">SUM(K28:L28)</f>
        <v>100000</v>
      </c>
      <c r="N28" s="539">
        <f t="shared" si="0"/>
        <v>111.11111111111111</v>
      </c>
    </row>
    <row r="29" spans="2:15" ht="12.95" customHeight="1" x14ac:dyDescent="0.2">
      <c r="B29" s="10"/>
      <c r="C29" s="11"/>
      <c r="D29" s="11"/>
      <c r="E29" s="11"/>
      <c r="F29" s="121"/>
      <c r="G29" s="135"/>
      <c r="H29" s="23"/>
      <c r="I29" s="151"/>
      <c r="J29" s="151"/>
      <c r="K29" s="253"/>
      <c r="L29" s="151"/>
      <c r="M29" s="478"/>
      <c r="N29" s="539" t="str">
        <f t="shared" si="0"/>
        <v/>
      </c>
    </row>
    <row r="30" spans="2:15" ht="12.95" customHeight="1" x14ac:dyDescent="0.25">
      <c r="B30" s="12"/>
      <c r="C30" s="8"/>
      <c r="D30" s="8"/>
      <c r="E30" s="8"/>
      <c r="F30" s="121">
        <v>821000</v>
      </c>
      <c r="G30" s="135"/>
      <c r="H30" s="23" t="s">
        <v>427</v>
      </c>
      <c r="I30" s="153">
        <f t="shared" ref="I30" si="10">SUM(I31:I34)</f>
        <v>233760</v>
      </c>
      <c r="J30" s="153">
        <f t="shared" ref="J30" si="11">SUM(J31:J34)</f>
        <v>233760</v>
      </c>
      <c r="K30" s="319">
        <f>SUM(K31:K34)</f>
        <v>560000</v>
      </c>
      <c r="L30" s="153">
        <f>SUM(L31:L34)</f>
        <v>9000</v>
      </c>
      <c r="M30" s="476">
        <f>SUM(M31:M34)</f>
        <v>569000</v>
      </c>
      <c r="N30" s="538">
        <f t="shared" si="0"/>
        <v>243.41204654346339</v>
      </c>
    </row>
    <row r="31" spans="2:15" ht="12.95" customHeight="1" x14ac:dyDescent="0.2">
      <c r="B31" s="10"/>
      <c r="C31" s="11"/>
      <c r="D31" s="11"/>
      <c r="E31" s="11"/>
      <c r="F31" s="122">
        <v>821200</v>
      </c>
      <c r="G31" s="136"/>
      <c r="H31" s="22" t="s">
        <v>429</v>
      </c>
      <c r="I31" s="154">
        <v>150000</v>
      </c>
      <c r="J31" s="154">
        <v>150000</v>
      </c>
      <c r="K31" s="254">
        <v>0</v>
      </c>
      <c r="L31" s="154">
        <v>0</v>
      </c>
      <c r="M31" s="504">
        <f t="shared" ref="M31:M32" si="12">SUM(K31:L31)</f>
        <v>0</v>
      </c>
      <c r="N31" s="539">
        <f t="shared" si="0"/>
        <v>0</v>
      </c>
      <c r="O31" s="277"/>
    </row>
    <row r="32" spans="2:15" s="1" customFormat="1" ht="12.95" customHeight="1" x14ac:dyDescent="0.2">
      <c r="B32" s="10"/>
      <c r="C32" s="11"/>
      <c r="D32" s="11"/>
      <c r="E32" s="11"/>
      <c r="F32" s="122">
        <v>821300</v>
      </c>
      <c r="G32" s="136"/>
      <c r="H32" s="293" t="s">
        <v>430</v>
      </c>
      <c r="I32" s="151">
        <v>9000</v>
      </c>
      <c r="J32" s="151">
        <v>9000</v>
      </c>
      <c r="K32" s="253">
        <v>0</v>
      </c>
      <c r="L32" s="151">
        <v>9000</v>
      </c>
      <c r="M32" s="504">
        <f t="shared" si="12"/>
        <v>9000</v>
      </c>
      <c r="N32" s="539">
        <f t="shared" si="0"/>
        <v>100</v>
      </c>
    </row>
    <row r="33" spans="2:14" s="1" customFormat="1" ht="12.95" customHeight="1" x14ac:dyDescent="0.2">
      <c r="B33" s="10"/>
      <c r="C33" s="11"/>
      <c r="D33" s="11"/>
      <c r="E33" s="11"/>
      <c r="F33" s="122">
        <v>821300</v>
      </c>
      <c r="G33" s="136" t="s">
        <v>431</v>
      </c>
      <c r="H33" s="293" t="s">
        <v>432</v>
      </c>
      <c r="I33" s="151">
        <v>74760</v>
      </c>
      <c r="J33" s="151">
        <v>74760</v>
      </c>
      <c r="K33" s="253">
        <v>560000</v>
      </c>
      <c r="L33" s="151">
        <v>0</v>
      </c>
      <c r="M33" s="504">
        <f t="shared" ref="M33" si="13">SUM(K33:L33)</f>
        <v>560000</v>
      </c>
      <c r="N33" s="539">
        <f t="shared" si="0"/>
        <v>749.06367041198496</v>
      </c>
    </row>
    <row r="34" spans="2:14" ht="12.95" customHeight="1" x14ac:dyDescent="0.2">
      <c r="B34" s="10"/>
      <c r="C34" s="11"/>
      <c r="D34" s="11"/>
      <c r="E34" s="11"/>
      <c r="F34" s="122"/>
      <c r="G34" s="136"/>
      <c r="H34" s="22"/>
      <c r="I34" s="151"/>
      <c r="J34" s="151"/>
      <c r="K34" s="253"/>
      <c r="L34" s="151"/>
      <c r="M34" s="478"/>
      <c r="N34" s="539" t="str">
        <f t="shared" si="0"/>
        <v/>
      </c>
    </row>
    <row r="35" spans="2:14" ht="12.95" customHeight="1" x14ac:dyDescent="0.25">
      <c r="B35" s="12"/>
      <c r="C35" s="8"/>
      <c r="D35" s="8"/>
      <c r="E35" s="8"/>
      <c r="F35" s="121"/>
      <c r="G35" s="135"/>
      <c r="H35" s="23" t="s">
        <v>441</v>
      </c>
      <c r="I35" s="269">
        <v>36</v>
      </c>
      <c r="J35" s="269">
        <v>36</v>
      </c>
      <c r="K35" s="321">
        <v>38</v>
      </c>
      <c r="L35" s="153"/>
      <c r="M35" s="471">
        <v>38</v>
      </c>
      <c r="N35" s="539"/>
    </row>
    <row r="36" spans="2:14" ht="12.95" customHeight="1" x14ac:dyDescent="0.25">
      <c r="B36" s="12"/>
      <c r="C36" s="8"/>
      <c r="D36" s="8"/>
      <c r="E36" s="8"/>
      <c r="F36" s="121"/>
      <c r="G36" s="135"/>
      <c r="H36" s="8" t="s">
        <v>453</v>
      </c>
      <c r="I36" s="259">
        <f>I8+I12+I15+I26+I30</f>
        <v>2305030</v>
      </c>
      <c r="J36" s="14">
        <f>J8+J12+J15+J26+J30</f>
        <v>2305030</v>
      </c>
      <c r="K36" s="262">
        <f>K8+K12+K15+K26+K30</f>
        <v>2069320</v>
      </c>
      <c r="L36" s="14">
        <f>L8+L12+L15+L26+L30</f>
        <v>109000</v>
      </c>
      <c r="M36" s="476">
        <f>M8+M12+M15+M26+M30</f>
        <v>2178320</v>
      </c>
      <c r="N36" s="538">
        <f>IF(J36=0,"",M36/J36*100)</f>
        <v>94.502891502496709</v>
      </c>
    </row>
    <row r="37" spans="2:14" s="1" customFormat="1" ht="12.95" customHeight="1" x14ac:dyDescent="0.25">
      <c r="B37" s="12"/>
      <c r="C37" s="8"/>
      <c r="D37" s="8"/>
      <c r="E37" s="8"/>
      <c r="F37" s="121"/>
      <c r="G37" s="135"/>
      <c r="H37" s="8" t="s">
        <v>454</v>
      </c>
      <c r="I37" s="259">
        <f t="shared" ref="I37:I38" si="14">I36</f>
        <v>2305030</v>
      </c>
      <c r="J37" s="14">
        <f t="shared" ref="J37" si="15">J36</f>
        <v>2305030</v>
      </c>
      <c r="K37" s="262">
        <f t="shared" ref="K37:M38" si="16">K36</f>
        <v>2069320</v>
      </c>
      <c r="L37" s="14">
        <f t="shared" si="16"/>
        <v>109000</v>
      </c>
      <c r="M37" s="476">
        <f t="shared" si="16"/>
        <v>2178320</v>
      </c>
      <c r="N37" s="538">
        <f>IF(J37=0,"",M37/J37*100)</f>
        <v>94.502891502496709</v>
      </c>
    </row>
    <row r="38" spans="2:14" s="1" customFormat="1" ht="12.95" customHeight="1" x14ac:dyDescent="0.25">
      <c r="B38" s="12"/>
      <c r="C38" s="8"/>
      <c r="D38" s="8"/>
      <c r="E38" s="8"/>
      <c r="F38" s="121"/>
      <c r="G38" s="135"/>
      <c r="H38" s="8" t="s">
        <v>455</v>
      </c>
      <c r="I38" s="14">
        <f t="shared" si="14"/>
        <v>2305030</v>
      </c>
      <c r="J38" s="14">
        <f t="shared" ref="J38" si="17">J37</f>
        <v>2305030</v>
      </c>
      <c r="K38" s="262">
        <f t="shared" si="16"/>
        <v>2069320</v>
      </c>
      <c r="L38" s="14">
        <f t="shared" si="16"/>
        <v>109000</v>
      </c>
      <c r="M38" s="476">
        <f t="shared" si="16"/>
        <v>2178320</v>
      </c>
      <c r="N38" s="538">
        <f>IF(J38=0,"",M38/J38*100)</f>
        <v>94.502891502496709</v>
      </c>
    </row>
    <row r="39" spans="2:14" s="1" customFormat="1" ht="12.95" customHeight="1" thickBot="1" x14ac:dyDescent="0.3">
      <c r="B39" s="15"/>
      <c r="C39" s="16"/>
      <c r="D39" s="16"/>
      <c r="E39" s="16"/>
      <c r="F39" s="123"/>
      <c r="G39" s="137"/>
      <c r="H39" s="16"/>
      <c r="I39" s="57"/>
      <c r="J39" s="57"/>
      <c r="K39" s="276"/>
      <c r="L39" s="57"/>
      <c r="M39" s="519"/>
      <c r="N39" s="542"/>
    </row>
    <row r="40" spans="2:14" s="1" customFormat="1" ht="12.95" customHeight="1" x14ac:dyDescent="0.2">
      <c r="B40" s="9"/>
      <c r="C40" s="9"/>
      <c r="D40" s="9"/>
      <c r="E40" s="9"/>
      <c r="F40" s="124"/>
      <c r="G40" s="138"/>
      <c r="H40" s="9"/>
      <c r="I40" s="42"/>
      <c r="J40" s="42"/>
      <c r="K40" s="42"/>
      <c r="L40" s="42"/>
      <c r="M40" s="163"/>
      <c r="N40" s="146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2.95" customHeight="1" x14ac:dyDescent="0.2">
      <c r="F58" s="124"/>
      <c r="G58" s="138"/>
      <c r="M58" s="161"/>
    </row>
    <row r="59" spans="6:13" ht="17.100000000000001" customHeight="1" x14ac:dyDescent="0.2">
      <c r="F59" s="124"/>
      <c r="G59" s="138"/>
      <c r="M59" s="161"/>
    </row>
    <row r="60" spans="6:13" ht="17.100000000000001" customHeight="1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38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ht="14.25" x14ac:dyDescent="0.2">
      <c r="F89" s="124"/>
      <c r="G89" s="124"/>
      <c r="M89" s="161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9"/>
  <dimension ref="B1:N94"/>
  <sheetViews>
    <sheetView tabSelected="1" zoomScaleNormal="100" workbookViewId="0">
      <selection activeCell="K14" sqref="K14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560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561</v>
      </c>
      <c r="C7" s="7" t="s">
        <v>451</v>
      </c>
      <c r="D7" s="7" t="s">
        <v>452</v>
      </c>
      <c r="E7" s="286" t="s">
        <v>636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739170</v>
      </c>
      <c r="J8" s="153">
        <f>SUM(J9:J10)</f>
        <v>739170</v>
      </c>
      <c r="K8" s="319">
        <f>SUM(K9:K10)</f>
        <v>833090</v>
      </c>
      <c r="L8" s="153">
        <f>SUM(L9:L10)</f>
        <v>0</v>
      </c>
      <c r="M8" s="503">
        <f>SUM(M9:M10)</f>
        <v>833090</v>
      </c>
      <c r="N8" s="538">
        <f t="shared" ref="N8:N29" si="0">IF(J8=0,"",M8/J8*100)</f>
        <v>112.706143377031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583420+1000+2*2800</f>
        <v>590020</v>
      </c>
      <c r="J9" s="154">
        <f>583420+1000+2*2800</f>
        <v>590020</v>
      </c>
      <c r="K9" s="254">
        <f>675980+4780+7*1500+16890</f>
        <v>708150</v>
      </c>
      <c r="L9" s="154">
        <v>0</v>
      </c>
      <c r="M9" s="504">
        <f>SUM(K9:L9)</f>
        <v>708150</v>
      </c>
      <c r="N9" s="539">
        <f t="shared" si="0"/>
        <v>120.02135520829802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140210+700+1000+2*420+16*400</f>
        <v>149150</v>
      </c>
      <c r="J10" s="154">
        <f>140210+700+1000+2*420+16*400</f>
        <v>149150</v>
      </c>
      <c r="K10" s="254">
        <f>80940+40500+3500</f>
        <v>124940</v>
      </c>
      <c r="L10" s="154">
        <v>0</v>
      </c>
      <c r="M10" s="504">
        <f t="shared" ref="M10" si="1">SUM(K10:L10)</f>
        <v>124940</v>
      </c>
      <c r="N10" s="539">
        <f t="shared" si="0"/>
        <v>83.768018773047274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62360</v>
      </c>
      <c r="J12" s="153">
        <f t="shared" si="2"/>
        <v>62360</v>
      </c>
      <c r="K12" s="319">
        <f>K13</f>
        <v>74220</v>
      </c>
      <c r="L12" s="153">
        <f>L13</f>
        <v>0</v>
      </c>
      <c r="M12" s="503">
        <f>M13</f>
        <v>74220</v>
      </c>
      <c r="N12" s="538">
        <f t="shared" si="0"/>
        <v>119.01860166773572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61340+400+2*310</f>
        <v>62360</v>
      </c>
      <c r="J13" s="154">
        <f>61340+400+2*310</f>
        <v>62360</v>
      </c>
      <c r="K13" s="254">
        <f>71100+7*180+1860</f>
        <v>74220</v>
      </c>
      <c r="L13" s="154">
        <v>0</v>
      </c>
      <c r="M13" s="504">
        <f>SUM(K13:L13)</f>
        <v>74220</v>
      </c>
      <c r="N13" s="539">
        <f t="shared" si="0"/>
        <v>119.01860166773572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3">
        <f>SUM(I16:I24)</f>
        <v>148000</v>
      </c>
      <c r="J15" s="153">
        <f>SUM(J16:J24)</f>
        <v>148000</v>
      </c>
      <c r="K15" s="320">
        <f>SUM(K16:K24)</f>
        <v>127500</v>
      </c>
      <c r="L15" s="155">
        <f>SUM(L16:L24)</f>
        <v>0</v>
      </c>
      <c r="M15" s="476">
        <f>SUM(M16:M24)</f>
        <v>127500</v>
      </c>
      <c r="N15" s="538">
        <f t="shared" si="0"/>
        <v>86.148648648648646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5500</v>
      </c>
      <c r="J16" s="154">
        <v>5500</v>
      </c>
      <c r="K16" s="254">
        <v>6000</v>
      </c>
      <c r="L16" s="154">
        <v>0</v>
      </c>
      <c r="M16" s="504">
        <f t="shared" ref="M16:M24" si="3">SUM(K16:L16)</f>
        <v>6000</v>
      </c>
      <c r="N16" s="539">
        <f t="shared" si="0"/>
        <v>109.09090909090908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29000</v>
      </c>
      <c r="J17" s="154">
        <v>29000</v>
      </c>
      <c r="K17" s="254">
        <v>30000</v>
      </c>
      <c r="L17" s="154">
        <v>0</v>
      </c>
      <c r="M17" s="504">
        <f t="shared" si="3"/>
        <v>30000</v>
      </c>
      <c r="N17" s="539">
        <f t="shared" si="0"/>
        <v>103.44827586206897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15000</v>
      </c>
      <c r="J18" s="154">
        <v>15000</v>
      </c>
      <c r="K18" s="254">
        <v>15000</v>
      </c>
      <c r="L18" s="154">
        <v>0</v>
      </c>
      <c r="M18" s="504">
        <f t="shared" si="3"/>
        <v>15000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10000</v>
      </c>
      <c r="J19" s="154">
        <v>10000</v>
      </c>
      <c r="K19" s="254">
        <v>8000</v>
      </c>
      <c r="L19" s="154">
        <v>0</v>
      </c>
      <c r="M19" s="504">
        <f t="shared" si="3"/>
        <v>8000</v>
      </c>
      <c r="N19" s="539">
        <f t="shared" si="0"/>
        <v>80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4500</v>
      </c>
      <c r="J20" s="154">
        <v>4500</v>
      </c>
      <c r="K20" s="254">
        <v>4500</v>
      </c>
      <c r="L20" s="154">
        <v>0</v>
      </c>
      <c r="M20" s="504">
        <f t="shared" si="3"/>
        <v>4500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f>7000+7000</f>
        <v>14000</v>
      </c>
      <c r="J22" s="154">
        <f>7000+7000</f>
        <v>14000</v>
      </c>
      <c r="K22" s="254">
        <v>12000</v>
      </c>
      <c r="L22" s="154">
        <v>0</v>
      </c>
      <c r="M22" s="504">
        <f t="shared" si="3"/>
        <v>12000</v>
      </c>
      <c r="N22" s="539">
        <f t="shared" si="0"/>
        <v>85.714285714285708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2000</v>
      </c>
      <c r="J23" s="154">
        <v>2000</v>
      </c>
      <c r="K23" s="254">
        <v>2000</v>
      </c>
      <c r="L23" s="154">
        <v>0</v>
      </c>
      <c r="M23" s="504">
        <f t="shared" si="3"/>
        <v>2000</v>
      </c>
      <c r="N23" s="539">
        <f t="shared" si="0"/>
        <v>100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68000</v>
      </c>
      <c r="J24" s="154">
        <v>68000</v>
      </c>
      <c r="K24" s="254">
        <v>50000</v>
      </c>
      <c r="L24" s="154">
        <v>0</v>
      </c>
      <c r="M24" s="504">
        <f t="shared" si="3"/>
        <v>50000</v>
      </c>
      <c r="N24" s="539">
        <f t="shared" si="0"/>
        <v>73.529411764705884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136100</v>
      </c>
      <c r="J26" s="153">
        <f t="shared" si="4"/>
        <v>136100</v>
      </c>
      <c r="K26" s="319">
        <f>SUM(K27:K28)</f>
        <v>120000</v>
      </c>
      <c r="L26" s="153">
        <f>SUM(L27:L28)</f>
        <v>0</v>
      </c>
      <c r="M26" s="476">
        <f>SUM(M27:M28)</f>
        <v>120000</v>
      </c>
      <c r="N26" s="538">
        <f t="shared" si="0"/>
        <v>88.170462894930196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128100</v>
      </c>
      <c r="J27" s="154">
        <v>128100</v>
      </c>
      <c r="K27" s="254">
        <v>30000</v>
      </c>
      <c r="L27" s="154">
        <v>0</v>
      </c>
      <c r="M27" s="504">
        <f t="shared" ref="M27:M28" si="5">SUM(K27:L27)</f>
        <v>30000</v>
      </c>
      <c r="N27" s="539">
        <f t="shared" si="0"/>
        <v>23.419203747072601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f>5000+3000</f>
        <v>8000</v>
      </c>
      <c r="J28" s="154">
        <f>5000+3000</f>
        <v>8000</v>
      </c>
      <c r="K28" s="254">
        <v>90000</v>
      </c>
      <c r="L28" s="154">
        <v>0</v>
      </c>
      <c r="M28" s="504">
        <f t="shared" si="5"/>
        <v>90000</v>
      </c>
      <c r="N28" s="539">
        <f t="shared" si="0"/>
        <v>1125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16</v>
      </c>
      <c r="J30" s="153">
        <v>16</v>
      </c>
      <c r="K30" s="319">
        <v>16</v>
      </c>
      <c r="L30" s="153"/>
      <c r="M30" s="476">
        <v>16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1085630</v>
      </c>
      <c r="J31" s="14">
        <f>J8+J12+J15+J26</f>
        <v>1085630</v>
      </c>
      <c r="K31" s="262">
        <f>K8+K12+K15+K26</f>
        <v>1154810</v>
      </c>
      <c r="L31" s="14">
        <f>L8+L12+L15+L26</f>
        <v>0</v>
      </c>
      <c r="M31" s="476">
        <f>M8+M12+M15+M26</f>
        <v>1154810</v>
      </c>
      <c r="N31" s="538">
        <f>IF(J31=0,"",M31/J31*100)</f>
        <v>106.37233679983052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 t="shared" ref="I32" si="6">I31</f>
        <v>1085630</v>
      </c>
      <c r="J32" s="14">
        <f t="shared" ref="J32" si="7">J31</f>
        <v>1085630</v>
      </c>
      <c r="K32" s="262">
        <f t="shared" ref="K32:M33" si="8">K31</f>
        <v>1154810</v>
      </c>
      <c r="L32" s="14">
        <f t="shared" si="8"/>
        <v>0</v>
      </c>
      <c r="M32" s="476">
        <f t="shared" si="8"/>
        <v>1154810</v>
      </c>
      <c r="N32" s="538">
        <f>IF(J32=0,"",M32/J32*100)</f>
        <v>106.37233679983052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ref="I33" si="9">I32</f>
        <v>1085630</v>
      </c>
      <c r="J33" s="14">
        <f t="shared" ref="J33" si="10">J32</f>
        <v>1085630</v>
      </c>
      <c r="K33" s="262">
        <f t="shared" si="8"/>
        <v>1154810</v>
      </c>
      <c r="L33" s="14">
        <f t="shared" si="8"/>
        <v>0</v>
      </c>
      <c r="M33" s="476">
        <f t="shared" si="8"/>
        <v>1154810</v>
      </c>
      <c r="N33" s="538">
        <f>IF(J33=0,"",M33/J33*100)</f>
        <v>106.37233679983052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L35" s="311"/>
      <c r="M35" s="162"/>
    </row>
    <row r="36" spans="2:14" ht="12.95" customHeight="1" x14ac:dyDescent="0.2">
      <c r="F36" s="124"/>
      <c r="G36" s="138"/>
      <c r="L36" s="311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0"/>
  <dimension ref="B1:N94"/>
  <sheetViews>
    <sheetView topLeftCell="E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562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563</v>
      </c>
      <c r="C7" s="7" t="s">
        <v>451</v>
      </c>
      <c r="D7" s="7" t="s">
        <v>452</v>
      </c>
      <c r="E7" s="286" t="s">
        <v>636</v>
      </c>
      <c r="F7" s="5"/>
      <c r="G7" s="5"/>
      <c r="H7" s="5"/>
      <c r="I7" s="258"/>
      <c r="J7" s="5"/>
      <c r="K7" s="4"/>
      <c r="L7" s="5"/>
      <c r="M7" s="502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105280</v>
      </c>
      <c r="J8" s="153">
        <f>SUM(J9:J10)</f>
        <v>105280</v>
      </c>
      <c r="K8" s="319">
        <f>SUM(K9:K10)</f>
        <v>107370</v>
      </c>
      <c r="L8" s="153">
        <f>SUM(L9:L10)</f>
        <v>0</v>
      </c>
      <c r="M8" s="503">
        <f>SUM(M9:M10)</f>
        <v>107370</v>
      </c>
      <c r="N8" s="538">
        <f t="shared" ref="N8:N29" si="0">IF(J8=0,"",M8/J8*100)</f>
        <v>101.98518237082067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89100+100</f>
        <v>89200</v>
      </c>
      <c r="J9" s="151">
        <f>89100+100</f>
        <v>89200</v>
      </c>
      <c r="K9" s="253">
        <f>91480+2290</f>
        <v>93770</v>
      </c>
      <c r="L9" s="151">
        <v>0</v>
      </c>
      <c r="M9" s="504">
        <f>SUM(K9:L9)</f>
        <v>93770</v>
      </c>
      <c r="N9" s="539">
        <f t="shared" si="0"/>
        <v>105.12331838565024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14780+100+3*400</f>
        <v>16080</v>
      </c>
      <c r="J10" s="151">
        <f>14780+100+3*400</f>
        <v>16080</v>
      </c>
      <c r="K10" s="253">
        <f>13600</f>
        <v>13600</v>
      </c>
      <c r="L10" s="151">
        <v>0</v>
      </c>
      <c r="M10" s="504">
        <f t="shared" ref="M10" si="1">SUM(K10:L10)</f>
        <v>13600</v>
      </c>
      <c r="N10" s="539">
        <f t="shared" si="0"/>
        <v>84.577114427860707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9470</v>
      </c>
      <c r="J12" s="153">
        <f t="shared" si="2"/>
        <v>9470</v>
      </c>
      <c r="K12" s="319">
        <f>K13</f>
        <v>9910</v>
      </c>
      <c r="L12" s="153">
        <f>L13</f>
        <v>0</v>
      </c>
      <c r="M12" s="503">
        <f>M13</f>
        <v>9910</v>
      </c>
      <c r="N12" s="538">
        <f t="shared" si="0"/>
        <v>104.64625131995776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9450+20</f>
        <v>9470</v>
      </c>
      <c r="J13" s="151">
        <f>9450+20</f>
        <v>9470</v>
      </c>
      <c r="K13" s="253">
        <f>9650+260</f>
        <v>9910</v>
      </c>
      <c r="L13" s="151">
        <v>0</v>
      </c>
      <c r="M13" s="504">
        <f>SUM(K13:L13)</f>
        <v>9910</v>
      </c>
      <c r="N13" s="539">
        <f t="shared" si="0"/>
        <v>104.64625131995776</v>
      </c>
    </row>
    <row r="14" spans="2:14" ht="12.95" customHeight="1" x14ac:dyDescent="0.25">
      <c r="B14" s="10"/>
      <c r="C14" s="11"/>
      <c r="D14" s="11"/>
      <c r="E14" s="11"/>
      <c r="F14" s="122"/>
      <c r="G14" s="136"/>
      <c r="H14" s="22"/>
      <c r="I14" s="155"/>
      <c r="J14" s="155"/>
      <c r="K14" s="320"/>
      <c r="L14" s="155"/>
      <c r="M14" s="476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9500</v>
      </c>
      <c r="J15" s="155">
        <f>SUM(J16:J24)</f>
        <v>9500</v>
      </c>
      <c r="K15" s="320">
        <f>SUM(K16:K24)</f>
        <v>9500</v>
      </c>
      <c r="L15" s="155">
        <f>SUM(L16:L24)</f>
        <v>0</v>
      </c>
      <c r="M15" s="476">
        <f>SUM(M16:M24)</f>
        <v>9500</v>
      </c>
      <c r="N15" s="538">
        <f t="shared" si="0"/>
        <v>100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1500</v>
      </c>
      <c r="J16" s="151">
        <v>1500</v>
      </c>
      <c r="K16" s="253">
        <v>1500</v>
      </c>
      <c r="L16" s="151">
        <v>0</v>
      </c>
      <c r="M16" s="504">
        <f t="shared" ref="M16:M24" si="3">SUM(K16:L16)</f>
        <v>1500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4000</v>
      </c>
      <c r="J18" s="151">
        <v>4000</v>
      </c>
      <c r="K18" s="253">
        <v>4000</v>
      </c>
      <c r="L18" s="151">
        <v>0</v>
      </c>
      <c r="M18" s="504">
        <f t="shared" si="3"/>
        <v>4000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1000</v>
      </c>
      <c r="J19" s="151">
        <v>1000</v>
      </c>
      <c r="K19" s="253">
        <v>1000</v>
      </c>
      <c r="L19" s="151">
        <v>0</v>
      </c>
      <c r="M19" s="504">
        <f t="shared" si="3"/>
        <v>1000</v>
      </c>
      <c r="N19" s="539">
        <f t="shared" si="0"/>
        <v>100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1000</v>
      </c>
      <c r="J22" s="151">
        <v>1000</v>
      </c>
      <c r="K22" s="253">
        <v>1000</v>
      </c>
      <c r="L22" s="151">
        <v>0</v>
      </c>
      <c r="M22" s="504">
        <f t="shared" si="3"/>
        <v>1000</v>
      </c>
      <c r="N22" s="539">
        <f t="shared" si="0"/>
        <v>100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2000</v>
      </c>
      <c r="J24" s="151">
        <v>2000</v>
      </c>
      <c r="K24" s="253">
        <v>2000</v>
      </c>
      <c r="L24" s="151">
        <v>0</v>
      </c>
      <c r="M24" s="504">
        <f t="shared" si="3"/>
        <v>2000</v>
      </c>
      <c r="N24" s="539">
        <f t="shared" si="0"/>
        <v>100</v>
      </c>
    </row>
    <row r="25" spans="2:14" ht="12.95" customHeight="1" x14ac:dyDescent="0.25">
      <c r="B25" s="10"/>
      <c r="C25" s="11"/>
      <c r="D25" s="11"/>
      <c r="E25" s="11"/>
      <c r="F25" s="122"/>
      <c r="G25" s="136"/>
      <c r="H25" s="22"/>
      <c r="I25" s="153"/>
      <c r="J25" s="153"/>
      <c r="K25" s="319"/>
      <c r="L25" s="153"/>
      <c r="M25" s="476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I27+I28</f>
        <v>2000</v>
      </c>
      <c r="J26" s="153">
        <f t="shared" si="4"/>
        <v>2000</v>
      </c>
      <c r="K26" s="319">
        <f>K27+K28</f>
        <v>2000</v>
      </c>
      <c r="L26" s="153">
        <f>L27+L28</f>
        <v>0</v>
      </c>
      <c r="M26" s="476">
        <f>M27+M28</f>
        <v>2000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2000</v>
      </c>
      <c r="J28" s="151">
        <v>2000</v>
      </c>
      <c r="K28" s="253">
        <v>2000</v>
      </c>
      <c r="L28" s="151">
        <v>0</v>
      </c>
      <c r="M28" s="504">
        <f t="shared" si="5"/>
        <v>2000</v>
      </c>
      <c r="N28" s="539">
        <f t="shared" si="0"/>
        <v>100</v>
      </c>
    </row>
    <row r="29" spans="2:14" ht="12.95" customHeight="1" x14ac:dyDescent="0.25">
      <c r="B29" s="10"/>
      <c r="C29" s="11"/>
      <c r="D29" s="11"/>
      <c r="E29" s="11"/>
      <c r="F29" s="122"/>
      <c r="G29" s="136"/>
      <c r="H29" s="22"/>
      <c r="I29" s="153"/>
      <c r="J29" s="153"/>
      <c r="K29" s="319"/>
      <c r="L29" s="153"/>
      <c r="M29" s="476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3</v>
      </c>
      <c r="J30" s="153">
        <v>3</v>
      </c>
      <c r="K30" s="319">
        <v>3</v>
      </c>
      <c r="L30" s="153"/>
      <c r="M30" s="476">
        <v>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126250</v>
      </c>
      <c r="J31" s="14">
        <f>J8+J12+J15+J26</f>
        <v>126250</v>
      </c>
      <c r="K31" s="262">
        <f>K8+K12+K15+K26</f>
        <v>128780</v>
      </c>
      <c r="L31" s="14">
        <f>L8+L12+L15+L26</f>
        <v>0</v>
      </c>
      <c r="M31" s="476">
        <f>M8+M12+M15+M26</f>
        <v>128780</v>
      </c>
      <c r="N31" s="538">
        <f>IF(J31=0,"",M31/J31*100)</f>
        <v>102.0039603960396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 t="shared" ref="I32" si="6">I31</f>
        <v>126250</v>
      </c>
      <c r="J32" s="14">
        <f t="shared" ref="J32" si="7">J31</f>
        <v>126250</v>
      </c>
      <c r="K32" s="262">
        <f t="shared" ref="K32:M33" si="8">K31</f>
        <v>128780</v>
      </c>
      <c r="L32" s="14">
        <f t="shared" si="8"/>
        <v>0</v>
      </c>
      <c r="M32" s="476">
        <f t="shared" si="8"/>
        <v>128780</v>
      </c>
      <c r="N32" s="538">
        <f>IF(J32=0,"",M32/J32*100)</f>
        <v>102.0039603960396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ref="I33" si="9">I32</f>
        <v>126250</v>
      </c>
      <c r="J33" s="14">
        <f t="shared" ref="J33" si="10">J32</f>
        <v>126250</v>
      </c>
      <c r="K33" s="262">
        <f t="shared" si="8"/>
        <v>128780</v>
      </c>
      <c r="L33" s="14">
        <f t="shared" si="8"/>
        <v>0</v>
      </c>
      <c r="M33" s="476">
        <f t="shared" si="8"/>
        <v>128780</v>
      </c>
      <c r="N33" s="538">
        <f>IF(J33=0,"",M33/J33*100)</f>
        <v>102.0039603960396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1"/>
  <dimension ref="B1:P94"/>
  <sheetViews>
    <sheetView topLeftCell="D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6" ht="13.5" thickBot="1" x14ac:dyDescent="0.25"/>
    <row r="2" spans="2:16" s="64" customFormat="1" ht="20.100000000000001" customHeight="1" thickTop="1" thickBot="1" x14ac:dyDescent="0.25">
      <c r="B2" s="649" t="s">
        <v>564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565</v>
      </c>
      <c r="C7" s="7" t="s">
        <v>451</v>
      </c>
      <c r="D7" s="7" t="s">
        <v>452</v>
      </c>
      <c r="E7" s="286" t="s">
        <v>636</v>
      </c>
      <c r="F7" s="5"/>
      <c r="G7" s="5"/>
      <c r="H7" s="5"/>
      <c r="I7" s="270"/>
      <c r="J7" s="56"/>
      <c r="K7" s="271"/>
      <c r="L7" s="56"/>
      <c r="M7" s="514"/>
      <c r="N7" s="537"/>
    </row>
    <row r="8" spans="2:16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664350</v>
      </c>
      <c r="J8" s="153">
        <f>SUM(J9:J10)</f>
        <v>664350</v>
      </c>
      <c r="K8" s="319">
        <f>SUM(K9:K10)</f>
        <v>713990</v>
      </c>
      <c r="L8" s="153">
        <f>SUM(L9:L10)</f>
        <v>0</v>
      </c>
      <c r="M8" s="503">
        <f>SUM(M9:M10)</f>
        <v>713990</v>
      </c>
      <c r="N8" s="538">
        <f t="shared" ref="N8:N29" si="0">IF(J8=0,"",M8/J8*100)</f>
        <v>107.47196507864831</v>
      </c>
      <c r="P8" s="45"/>
    </row>
    <row r="9" spans="2:16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570220+800</f>
        <v>571020</v>
      </c>
      <c r="J9" s="154">
        <f>570220+800</f>
        <v>571020</v>
      </c>
      <c r="K9" s="254">
        <f>570480+11*1500+9*2800+14260</f>
        <v>626440</v>
      </c>
      <c r="L9" s="154">
        <v>0</v>
      </c>
      <c r="M9" s="504">
        <f>SUM(K9:L9)</f>
        <v>626440</v>
      </c>
      <c r="N9" s="539">
        <f t="shared" si="0"/>
        <v>109.70543938916326</v>
      </c>
    </row>
    <row r="10" spans="2:16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81930+2*2800+600+13*400</f>
        <v>93330</v>
      </c>
      <c r="J10" s="154">
        <f>81930+2*2800+600+13*400</f>
        <v>93330</v>
      </c>
      <c r="K10" s="254">
        <f>78550+4700+4300</f>
        <v>87550</v>
      </c>
      <c r="L10" s="154">
        <v>0</v>
      </c>
      <c r="M10" s="504">
        <f t="shared" ref="M10" si="1">SUM(K10:L10)</f>
        <v>87550</v>
      </c>
      <c r="N10" s="539">
        <f t="shared" si="0"/>
        <v>93.806921675774134</v>
      </c>
    </row>
    <row r="11" spans="2:16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6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60070</v>
      </c>
      <c r="J12" s="153">
        <f t="shared" si="2"/>
        <v>60070</v>
      </c>
      <c r="K12" s="319">
        <f>K13</f>
        <v>66420</v>
      </c>
      <c r="L12" s="153">
        <f>L13</f>
        <v>0</v>
      </c>
      <c r="M12" s="503">
        <f>M13</f>
        <v>66420</v>
      </c>
      <c r="N12" s="538">
        <f t="shared" si="0"/>
        <v>110.57100049941735</v>
      </c>
    </row>
    <row r="13" spans="2:16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59970+100</f>
        <v>60070</v>
      </c>
      <c r="J13" s="154">
        <f>59970+100</f>
        <v>60070</v>
      </c>
      <c r="K13" s="254">
        <f>59990+11*180+9*320+1570</f>
        <v>66420</v>
      </c>
      <c r="L13" s="154">
        <v>0</v>
      </c>
      <c r="M13" s="504">
        <f>SUM(K13:L13)</f>
        <v>66420</v>
      </c>
      <c r="N13" s="539">
        <f t="shared" si="0"/>
        <v>110.57100049941735</v>
      </c>
    </row>
    <row r="14" spans="2:16" ht="12.95" customHeight="1" x14ac:dyDescent="0.25">
      <c r="B14" s="10"/>
      <c r="C14" s="11"/>
      <c r="D14" s="11"/>
      <c r="E14" s="11"/>
      <c r="F14" s="122"/>
      <c r="G14" s="136"/>
      <c r="H14" s="22"/>
      <c r="I14" s="153"/>
      <c r="J14" s="153"/>
      <c r="K14" s="319"/>
      <c r="L14" s="153"/>
      <c r="M14" s="476"/>
      <c r="N14" s="539" t="str">
        <f t="shared" si="0"/>
        <v/>
      </c>
    </row>
    <row r="15" spans="2:16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100500</v>
      </c>
      <c r="J15" s="155">
        <f>SUM(J16:J24)</f>
        <v>100500</v>
      </c>
      <c r="K15" s="320">
        <f>SUM(K16:K24)</f>
        <v>104500</v>
      </c>
      <c r="L15" s="155">
        <f>SUM(L16:L24)</f>
        <v>0</v>
      </c>
      <c r="M15" s="476">
        <f>SUM(M16:M24)</f>
        <v>104500</v>
      </c>
      <c r="N15" s="538">
        <f t="shared" si="0"/>
        <v>103.98009950248756</v>
      </c>
    </row>
    <row r="16" spans="2:16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3000</v>
      </c>
      <c r="J16" s="154">
        <v>3000</v>
      </c>
      <c r="K16" s="254">
        <v>3500</v>
      </c>
      <c r="L16" s="154"/>
      <c r="M16" s="504">
        <f t="shared" ref="M16:M24" si="3">SUM(K16:L16)</f>
        <v>3500</v>
      </c>
      <c r="N16" s="539">
        <f t="shared" si="0"/>
        <v>116.66666666666667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7000</v>
      </c>
      <c r="J17" s="154">
        <v>7000</v>
      </c>
      <c r="K17" s="254">
        <v>7500</v>
      </c>
      <c r="L17" s="154">
        <v>0</v>
      </c>
      <c r="M17" s="504">
        <f t="shared" si="3"/>
        <v>7500</v>
      </c>
      <c r="N17" s="539">
        <f t="shared" si="0"/>
        <v>107.14285714285714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11000</v>
      </c>
      <c r="J18" s="154">
        <v>11000</v>
      </c>
      <c r="K18" s="254">
        <v>12000</v>
      </c>
      <c r="L18" s="154">
        <v>0</v>
      </c>
      <c r="M18" s="504">
        <f t="shared" si="3"/>
        <v>12000</v>
      </c>
      <c r="N18" s="539">
        <f t="shared" si="0"/>
        <v>109.09090909090908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17000</v>
      </c>
      <c r="J19" s="154">
        <v>17000</v>
      </c>
      <c r="K19" s="254">
        <v>18000</v>
      </c>
      <c r="L19" s="154">
        <v>0</v>
      </c>
      <c r="M19" s="504">
        <f t="shared" si="3"/>
        <v>18000</v>
      </c>
      <c r="N19" s="539">
        <f t="shared" si="0"/>
        <v>105.88235294117648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3500</v>
      </c>
      <c r="J20" s="154">
        <v>3500</v>
      </c>
      <c r="K20" s="254">
        <v>4000</v>
      </c>
      <c r="L20" s="154">
        <v>0</v>
      </c>
      <c r="M20" s="504">
        <f t="shared" si="3"/>
        <v>4000</v>
      </c>
      <c r="N20" s="539">
        <f t="shared" si="0"/>
        <v>114.28571428571428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5000</v>
      </c>
      <c r="J22" s="154">
        <v>5000</v>
      </c>
      <c r="K22" s="254">
        <v>5500</v>
      </c>
      <c r="L22" s="154">
        <v>0</v>
      </c>
      <c r="M22" s="504">
        <f t="shared" si="3"/>
        <v>5500</v>
      </c>
      <c r="N22" s="539">
        <f t="shared" si="0"/>
        <v>110.00000000000001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2000</v>
      </c>
      <c r="J23" s="154">
        <v>2000</v>
      </c>
      <c r="K23" s="254">
        <v>2000</v>
      </c>
      <c r="L23" s="154">
        <v>0</v>
      </c>
      <c r="M23" s="504">
        <f t="shared" si="3"/>
        <v>2000</v>
      </c>
      <c r="N23" s="539">
        <f t="shared" si="0"/>
        <v>100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52000</v>
      </c>
      <c r="J24" s="154">
        <v>52000</v>
      </c>
      <c r="K24" s="254">
        <v>52000</v>
      </c>
      <c r="L24" s="154">
        <v>0</v>
      </c>
      <c r="M24" s="504">
        <f t="shared" si="3"/>
        <v>52000</v>
      </c>
      <c r="N24" s="539">
        <f t="shared" si="0"/>
        <v>100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I27+I28</f>
        <v>32000</v>
      </c>
      <c r="J26" s="153">
        <f t="shared" si="4"/>
        <v>32000</v>
      </c>
      <c r="K26" s="319">
        <f>K27+K28</f>
        <v>113000</v>
      </c>
      <c r="L26" s="153">
        <f>L27+L28</f>
        <v>0</v>
      </c>
      <c r="M26" s="476">
        <f>M27+M28</f>
        <v>113000</v>
      </c>
      <c r="N26" s="538">
        <f t="shared" si="0"/>
        <v>353.125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2000</v>
      </c>
      <c r="J27" s="154">
        <v>2000</v>
      </c>
      <c r="K27" s="254">
        <v>20000</v>
      </c>
      <c r="L27" s="154">
        <v>0</v>
      </c>
      <c r="M27" s="504">
        <f t="shared" ref="M27:M28" si="5">SUM(K27:L27)</f>
        <v>20000</v>
      </c>
      <c r="N27" s="539">
        <f t="shared" si="0"/>
        <v>1000</v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30000</v>
      </c>
      <c r="J28" s="154">
        <v>30000</v>
      </c>
      <c r="K28" s="254">
        <v>93000</v>
      </c>
      <c r="L28" s="154">
        <v>0</v>
      </c>
      <c r="M28" s="504">
        <f t="shared" si="5"/>
        <v>93000</v>
      </c>
      <c r="N28" s="539">
        <f t="shared" si="0"/>
        <v>310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269" t="s">
        <v>845</v>
      </c>
      <c r="J30" s="269" t="s">
        <v>845</v>
      </c>
      <c r="K30" s="321" t="s">
        <v>539</v>
      </c>
      <c r="L30" s="269"/>
      <c r="M30" s="471" t="s">
        <v>539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856920</v>
      </c>
      <c r="J31" s="14">
        <f>J8+J12+J15+J26</f>
        <v>856920</v>
      </c>
      <c r="K31" s="262">
        <f>K8+K12+K15+K26</f>
        <v>997910</v>
      </c>
      <c r="L31" s="14">
        <f>L8+L12+L15+L26</f>
        <v>0</v>
      </c>
      <c r="M31" s="476">
        <f>M8+M12+M15+M26</f>
        <v>997910</v>
      </c>
      <c r="N31" s="538">
        <f>IF(J31=0,"",M31/J31*100)</f>
        <v>116.45311114223031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259">
        <f t="shared" ref="I32" si="6">I31</f>
        <v>856920</v>
      </c>
      <c r="J32" s="14">
        <f t="shared" ref="J32" si="7">J31</f>
        <v>856920</v>
      </c>
      <c r="K32" s="262">
        <f t="shared" ref="K32:M33" si="8">K31</f>
        <v>997910</v>
      </c>
      <c r="L32" s="14">
        <f t="shared" si="8"/>
        <v>0</v>
      </c>
      <c r="M32" s="476">
        <f t="shared" si="8"/>
        <v>997910</v>
      </c>
      <c r="N32" s="538">
        <f>IF(J32=0,"",M32/J32*100)</f>
        <v>116.45311114223031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ref="I33" si="9">I32</f>
        <v>856920</v>
      </c>
      <c r="J33" s="14">
        <f t="shared" ref="J33" si="10">J32</f>
        <v>856920</v>
      </c>
      <c r="K33" s="262">
        <f t="shared" si="8"/>
        <v>997910</v>
      </c>
      <c r="L33" s="14">
        <f t="shared" si="8"/>
        <v>0</v>
      </c>
      <c r="M33" s="476">
        <f t="shared" si="8"/>
        <v>997910</v>
      </c>
      <c r="N33" s="538">
        <f>IF(J33=0,"",M33/J33*100)</f>
        <v>116.45311114223031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K35" s="54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B1:N94"/>
  <sheetViews>
    <sheetView topLeftCell="B3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44" customWidth="1"/>
    <col min="13" max="13" width="15.7109375" style="44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566</v>
      </c>
      <c r="C2" s="650"/>
      <c r="D2" s="650"/>
      <c r="E2" s="650"/>
      <c r="F2" s="650"/>
      <c r="G2" s="650"/>
      <c r="H2" s="650"/>
      <c r="I2" s="650"/>
      <c r="J2" s="675"/>
      <c r="K2" s="675"/>
      <c r="L2" s="675"/>
      <c r="M2" s="675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567</v>
      </c>
      <c r="C7" s="7" t="s">
        <v>451</v>
      </c>
      <c r="D7" s="7" t="s">
        <v>452</v>
      </c>
      <c r="E7" s="286" t="s">
        <v>662</v>
      </c>
      <c r="F7" s="5"/>
      <c r="G7" s="5"/>
      <c r="H7" s="5"/>
      <c r="I7" s="270"/>
      <c r="J7" s="56"/>
      <c r="K7" s="271"/>
      <c r="L7" s="56"/>
      <c r="M7" s="514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3">
        <f>SUM(I9:I10)</f>
        <v>545630</v>
      </c>
      <c r="J8" s="153">
        <f>SUM(J9:J10)</f>
        <v>545630</v>
      </c>
      <c r="K8" s="319">
        <f>SUM(K9:K10)</f>
        <v>571510</v>
      </c>
      <c r="L8" s="153">
        <f>SUM(L9:L10)</f>
        <v>0</v>
      </c>
      <c r="M8" s="503">
        <f>SUM(M9:M10)</f>
        <v>571510</v>
      </c>
      <c r="N8" s="538">
        <f t="shared" ref="N8:N29" si="0">IF(J8=0,"",M8/J8*100)</f>
        <v>104.7431409563257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4">
        <f>469150+800</f>
        <v>469950</v>
      </c>
      <c r="J9" s="154">
        <f>469150+800</f>
        <v>469950</v>
      </c>
      <c r="K9" s="254">
        <f>489950+12240</f>
        <v>502190</v>
      </c>
      <c r="L9" s="154">
        <v>0</v>
      </c>
      <c r="M9" s="504">
        <f>SUM(K9:L9)</f>
        <v>502190</v>
      </c>
      <c r="N9" s="539">
        <f t="shared" si="0"/>
        <v>106.86030428769018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4">
        <f>69980+500+13*400</f>
        <v>75680</v>
      </c>
      <c r="J10" s="154">
        <f>69980+500+13*400</f>
        <v>75680</v>
      </c>
      <c r="K10" s="254">
        <f>69320</f>
        <v>69320</v>
      </c>
      <c r="L10" s="154">
        <v>0</v>
      </c>
      <c r="M10" s="504">
        <f t="shared" ref="M10" si="1">SUM(K10:L10)</f>
        <v>69320</v>
      </c>
      <c r="N10" s="539">
        <f t="shared" si="0"/>
        <v>91.596194503171247</v>
      </c>
    </row>
    <row r="11" spans="2:14" ht="12.95" customHeight="1" x14ac:dyDescent="0.25">
      <c r="B11" s="10"/>
      <c r="C11" s="11"/>
      <c r="D11" s="11"/>
      <c r="E11" s="11"/>
      <c r="F11" s="122"/>
      <c r="G11" s="136"/>
      <c r="H11" s="22"/>
      <c r="I11" s="153"/>
      <c r="J11" s="153"/>
      <c r="K11" s="319"/>
      <c r="L11" s="153"/>
      <c r="M11" s="503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3">
        <f t="shared" ref="I12:J12" si="2">I13</f>
        <v>50240</v>
      </c>
      <c r="J12" s="153">
        <f t="shared" si="2"/>
        <v>50240</v>
      </c>
      <c r="K12" s="319">
        <f>K13</f>
        <v>52980</v>
      </c>
      <c r="L12" s="153">
        <f>L13</f>
        <v>0</v>
      </c>
      <c r="M12" s="503">
        <f>M13</f>
        <v>52980</v>
      </c>
      <c r="N12" s="538">
        <f t="shared" si="0"/>
        <v>105.45382165605095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4">
        <f>50120+120</f>
        <v>50240</v>
      </c>
      <c r="J13" s="154">
        <f>50120+120</f>
        <v>50240</v>
      </c>
      <c r="K13" s="254">
        <f>51630+1350</f>
        <v>52980</v>
      </c>
      <c r="L13" s="154">
        <v>0</v>
      </c>
      <c r="M13" s="504">
        <f>SUM(K13:L13)</f>
        <v>52980</v>
      </c>
      <c r="N13" s="539">
        <f t="shared" si="0"/>
        <v>105.45382165605095</v>
      </c>
    </row>
    <row r="14" spans="2:14" ht="12.95" customHeight="1" x14ac:dyDescent="0.2">
      <c r="B14" s="10"/>
      <c r="C14" s="11"/>
      <c r="D14" s="11"/>
      <c r="E14" s="11"/>
      <c r="F14" s="122"/>
      <c r="G14" s="136"/>
      <c r="H14" s="22"/>
      <c r="I14" s="154"/>
      <c r="J14" s="154"/>
      <c r="K14" s="254"/>
      <c r="L14" s="154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5">
        <f>SUM(I16:I24)</f>
        <v>30900</v>
      </c>
      <c r="J15" s="155">
        <f>SUM(J16:J24)</f>
        <v>30900</v>
      </c>
      <c r="K15" s="320">
        <f>SUM(K16:K24)</f>
        <v>31800</v>
      </c>
      <c r="L15" s="155">
        <f>SUM(L16:L24)</f>
        <v>0</v>
      </c>
      <c r="M15" s="476">
        <f>SUM(M16:M24)</f>
        <v>31800</v>
      </c>
      <c r="N15" s="538">
        <f t="shared" si="0"/>
        <v>102.91262135922329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4">
        <v>1000</v>
      </c>
      <c r="J16" s="154">
        <v>1000</v>
      </c>
      <c r="K16" s="254">
        <v>1200</v>
      </c>
      <c r="L16" s="154">
        <v>0</v>
      </c>
      <c r="M16" s="504">
        <f t="shared" ref="M16:M24" si="3">SUM(K16:L16)</f>
        <v>1200</v>
      </c>
      <c r="N16" s="539">
        <f t="shared" si="0"/>
        <v>120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4">
        <v>6500</v>
      </c>
      <c r="J17" s="154">
        <v>6500</v>
      </c>
      <c r="K17" s="254">
        <v>7000</v>
      </c>
      <c r="L17" s="154">
        <v>0</v>
      </c>
      <c r="M17" s="504">
        <f t="shared" si="3"/>
        <v>7000</v>
      </c>
      <c r="N17" s="539">
        <f t="shared" si="0"/>
        <v>107.69230769230769</v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4">
        <v>6000</v>
      </c>
      <c r="J18" s="154">
        <v>6000</v>
      </c>
      <c r="K18" s="254">
        <v>6000</v>
      </c>
      <c r="L18" s="154">
        <v>0</v>
      </c>
      <c r="M18" s="504">
        <f t="shared" si="3"/>
        <v>6000</v>
      </c>
      <c r="N18" s="539">
        <f t="shared" si="0"/>
        <v>100</v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4">
        <v>700</v>
      </c>
      <c r="J19" s="154">
        <v>700</v>
      </c>
      <c r="K19" s="254">
        <v>1000</v>
      </c>
      <c r="L19" s="154">
        <v>0</v>
      </c>
      <c r="M19" s="504">
        <f t="shared" si="3"/>
        <v>1000</v>
      </c>
      <c r="N19" s="539">
        <f t="shared" si="0"/>
        <v>142.85714285714286</v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4">
        <v>7000</v>
      </c>
      <c r="J20" s="154">
        <v>7000</v>
      </c>
      <c r="K20" s="254">
        <v>7000</v>
      </c>
      <c r="L20" s="154">
        <v>0</v>
      </c>
      <c r="M20" s="504">
        <f t="shared" si="3"/>
        <v>7000</v>
      </c>
      <c r="N20" s="539">
        <f t="shared" si="0"/>
        <v>100</v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4">
        <v>0</v>
      </c>
      <c r="J21" s="154">
        <v>0</v>
      </c>
      <c r="K21" s="254">
        <v>0</v>
      </c>
      <c r="L21" s="154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4">
        <v>3700</v>
      </c>
      <c r="J22" s="154">
        <v>3700</v>
      </c>
      <c r="K22" s="254">
        <v>4000</v>
      </c>
      <c r="L22" s="154">
        <v>0</v>
      </c>
      <c r="M22" s="504">
        <f t="shared" si="3"/>
        <v>4000</v>
      </c>
      <c r="N22" s="539">
        <f t="shared" si="0"/>
        <v>108.10810810810811</v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4">
        <v>1900</v>
      </c>
      <c r="J23" s="154">
        <v>1900</v>
      </c>
      <c r="K23" s="254">
        <v>2100</v>
      </c>
      <c r="L23" s="154">
        <v>0</v>
      </c>
      <c r="M23" s="504">
        <f t="shared" si="3"/>
        <v>2100</v>
      </c>
      <c r="N23" s="539">
        <f t="shared" si="0"/>
        <v>110.5263157894737</v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4">
        <v>4100</v>
      </c>
      <c r="J24" s="154">
        <v>4100</v>
      </c>
      <c r="K24" s="254">
        <v>3500</v>
      </c>
      <c r="L24" s="154">
        <v>0</v>
      </c>
      <c r="M24" s="504">
        <f t="shared" si="3"/>
        <v>3500</v>
      </c>
      <c r="N24" s="539">
        <f t="shared" si="0"/>
        <v>85.365853658536579</v>
      </c>
    </row>
    <row r="25" spans="2:14" s="1" customFormat="1" ht="12.95" customHeight="1" x14ac:dyDescent="0.2">
      <c r="B25" s="12"/>
      <c r="C25" s="8"/>
      <c r="D25" s="8"/>
      <c r="E25" s="8"/>
      <c r="F25" s="121"/>
      <c r="G25" s="135"/>
      <c r="H25" s="23"/>
      <c r="I25" s="154"/>
      <c r="J25" s="154"/>
      <c r="K25" s="254"/>
      <c r="L25" s="154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3">
        <f t="shared" ref="I26:J26" si="4">SUM(I27:I28)</f>
        <v>3000</v>
      </c>
      <c r="J26" s="153">
        <f t="shared" si="4"/>
        <v>3000</v>
      </c>
      <c r="K26" s="319">
        <f>SUM(K27:K28)</f>
        <v>3000</v>
      </c>
      <c r="L26" s="153">
        <f>SUM(L27:L28)</f>
        <v>0</v>
      </c>
      <c r="M26" s="476">
        <f>SUM(M27:M28)</f>
        <v>3000</v>
      </c>
      <c r="N26" s="538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4">
        <v>0</v>
      </c>
      <c r="J27" s="154">
        <v>0</v>
      </c>
      <c r="K27" s="254">
        <v>0</v>
      </c>
      <c r="L27" s="154">
        <v>0</v>
      </c>
      <c r="M27" s="504">
        <f t="shared" ref="M27:M28" si="5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4">
        <v>3000</v>
      </c>
      <c r="J28" s="154">
        <v>3000</v>
      </c>
      <c r="K28" s="254">
        <v>3000</v>
      </c>
      <c r="L28" s="154">
        <v>0</v>
      </c>
      <c r="M28" s="504">
        <f t="shared" si="5"/>
        <v>3000</v>
      </c>
      <c r="N28" s="539">
        <f t="shared" si="0"/>
        <v>100</v>
      </c>
    </row>
    <row r="29" spans="2:14" ht="12.95" customHeight="1" x14ac:dyDescent="0.2">
      <c r="B29" s="10"/>
      <c r="C29" s="11"/>
      <c r="D29" s="11"/>
      <c r="E29" s="11"/>
      <c r="F29" s="122"/>
      <c r="G29" s="136"/>
      <c r="H29" s="22"/>
      <c r="I29" s="154"/>
      <c r="J29" s="154"/>
      <c r="K29" s="254"/>
      <c r="L29" s="154"/>
      <c r="M29" s="478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3">
        <v>13</v>
      </c>
      <c r="J30" s="153">
        <v>13</v>
      </c>
      <c r="K30" s="319">
        <v>13</v>
      </c>
      <c r="L30" s="153"/>
      <c r="M30" s="476">
        <v>13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8" t="s">
        <v>453</v>
      </c>
      <c r="I31" s="259">
        <f>I8+I12+I15+I26</f>
        <v>629770</v>
      </c>
      <c r="J31" s="14">
        <f>J8+J12+J15+J26</f>
        <v>629770</v>
      </c>
      <c r="K31" s="262">
        <f>K8+K12+K15+K26</f>
        <v>659290</v>
      </c>
      <c r="L31" s="14">
        <f>L8+L12+L15+L26</f>
        <v>0</v>
      </c>
      <c r="M31" s="476">
        <f>M8+M12+M15+M26</f>
        <v>659290</v>
      </c>
      <c r="N31" s="538">
        <f>IF(J31=0,"",M31/J31*100)</f>
        <v>104.68742556806454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>
        <f t="shared" ref="I32" si="6">I31</f>
        <v>629770</v>
      </c>
      <c r="J32" s="14">
        <f t="shared" ref="J32" si="7">J31</f>
        <v>629770</v>
      </c>
      <c r="K32" s="262">
        <f t="shared" ref="K32:M33" si="8">K31</f>
        <v>659290</v>
      </c>
      <c r="L32" s="14">
        <f t="shared" si="8"/>
        <v>0</v>
      </c>
      <c r="M32" s="476">
        <f t="shared" si="8"/>
        <v>659290</v>
      </c>
      <c r="N32" s="538">
        <f>IF(J32=0,"",M32/J32*100)</f>
        <v>104.68742556806454</v>
      </c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455</v>
      </c>
      <c r="I33" s="14">
        <f t="shared" ref="I33" si="9">I32</f>
        <v>629770</v>
      </c>
      <c r="J33" s="14">
        <f t="shared" ref="J33" si="10">J32</f>
        <v>629770</v>
      </c>
      <c r="K33" s="262">
        <f t="shared" si="8"/>
        <v>659290</v>
      </c>
      <c r="L33" s="14">
        <f t="shared" si="8"/>
        <v>0</v>
      </c>
      <c r="M33" s="476">
        <f t="shared" si="8"/>
        <v>659290</v>
      </c>
      <c r="N33" s="538">
        <f>IF(J33=0,"",M33/J33*100)</f>
        <v>104.68742556806454</v>
      </c>
    </row>
    <row r="34" spans="2:14" ht="12.95" customHeight="1" thickBot="1" x14ac:dyDescent="0.25">
      <c r="B34" s="15"/>
      <c r="C34" s="16"/>
      <c r="D34" s="16"/>
      <c r="E34" s="16"/>
      <c r="F34" s="123"/>
      <c r="G34" s="137"/>
      <c r="H34" s="16"/>
      <c r="I34" s="29"/>
      <c r="J34" s="29"/>
      <c r="K34" s="263"/>
      <c r="L34" s="29"/>
      <c r="M34" s="505"/>
      <c r="N34" s="540"/>
    </row>
    <row r="35" spans="2:14" ht="12.95" customHeight="1" x14ac:dyDescent="0.2">
      <c r="F35" s="124"/>
      <c r="G35" s="138"/>
      <c r="M35" s="162"/>
    </row>
    <row r="36" spans="2:14" ht="12.95" customHeight="1" x14ac:dyDescent="0.2">
      <c r="F36" s="124"/>
      <c r="G36" s="138"/>
      <c r="M36" s="162"/>
    </row>
    <row r="37" spans="2:14" ht="12.95" customHeight="1" x14ac:dyDescent="0.2">
      <c r="F37" s="124"/>
      <c r="G37" s="138"/>
      <c r="M37" s="162"/>
    </row>
    <row r="38" spans="2:14" ht="12.95" customHeight="1" x14ac:dyDescent="0.2">
      <c r="F38" s="124"/>
      <c r="G38" s="138"/>
      <c r="M38" s="162"/>
    </row>
    <row r="39" spans="2:14" ht="12.95" customHeight="1" x14ac:dyDescent="0.2">
      <c r="F39" s="124"/>
      <c r="G39" s="138"/>
      <c r="M39" s="162"/>
    </row>
    <row r="40" spans="2:14" ht="12.95" customHeight="1" x14ac:dyDescent="0.2">
      <c r="F40" s="124"/>
      <c r="G40" s="138"/>
      <c r="M40" s="162"/>
    </row>
    <row r="41" spans="2:14" ht="12.95" customHeight="1" x14ac:dyDescent="0.2">
      <c r="F41" s="124"/>
      <c r="G41" s="138"/>
      <c r="M41" s="162"/>
    </row>
    <row r="42" spans="2:14" ht="12.95" customHeight="1" x14ac:dyDescent="0.2">
      <c r="F42" s="124"/>
      <c r="G42" s="138"/>
      <c r="M42" s="162"/>
    </row>
    <row r="43" spans="2:14" ht="12.95" customHeight="1" x14ac:dyDescent="0.2">
      <c r="F43" s="124"/>
      <c r="G43" s="138"/>
      <c r="M43" s="162"/>
    </row>
    <row r="44" spans="2:14" ht="12.95" customHeight="1" x14ac:dyDescent="0.2">
      <c r="F44" s="124"/>
      <c r="G44" s="138"/>
      <c r="M44" s="162"/>
    </row>
    <row r="45" spans="2:14" ht="12.95" customHeight="1" x14ac:dyDescent="0.2">
      <c r="F45" s="124"/>
      <c r="G45" s="138"/>
      <c r="M45" s="162"/>
    </row>
    <row r="46" spans="2:14" ht="12.95" customHeight="1" x14ac:dyDescent="0.2">
      <c r="F46" s="124"/>
      <c r="G46" s="138"/>
      <c r="M46" s="162"/>
    </row>
    <row r="47" spans="2:14" ht="12.95" customHeight="1" x14ac:dyDescent="0.2">
      <c r="F47" s="124"/>
      <c r="G47" s="138"/>
      <c r="M47" s="162"/>
    </row>
    <row r="48" spans="2:14" ht="12.95" customHeight="1" x14ac:dyDescent="0.2">
      <c r="F48" s="124"/>
      <c r="G48" s="138"/>
      <c r="M48" s="162"/>
    </row>
    <row r="49" spans="6:13" ht="12.95" customHeight="1" x14ac:dyDescent="0.2">
      <c r="F49" s="124"/>
      <c r="G49" s="138"/>
      <c r="M49" s="162"/>
    </row>
    <row r="50" spans="6:13" ht="12.95" customHeight="1" x14ac:dyDescent="0.2">
      <c r="F50" s="124"/>
      <c r="G50" s="138"/>
      <c r="M50" s="162"/>
    </row>
    <row r="51" spans="6:13" ht="12.95" customHeight="1" x14ac:dyDescent="0.2">
      <c r="F51" s="124"/>
      <c r="G51" s="138"/>
      <c r="M51" s="162"/>
    </row>
    <row r="52" spans="6:13" ht="12.95" customHeight="1" x14ac:dyDescent="0.2">
      <c r="F52" s="124"/>
      <c r="G52" s="138"/>
      <c r="M52" s="162"/>
    </row>
    <row r="53" spans="6:13" ht="12.95" customHeight="1" x14ac:dyDescent="0.2">
      <c r="F53" s="124"/>
      <c r="G53" s="138"/>
      <c r="M53" s="162"/>
    </row>
    <row r="54" spans="6:13" ht="12.95" customHeight="1" x14ac:dyDescent="0.2">
      <c r="F54" s="124"/>
      <c r="G54" s="138"/>
      <c r="M54" s="162"/>
    </row>
    <row r="55" spans="6:13" ht="12.95" customHeight="1" x14ac:dyDescent="0.2">
      <c r="F55" s="124"/>
      <c r="G55" s="138"/>
      <c r="M55" s="162"/>
    </row>
    <row r="56" spans="6:13" ht="12.95" customHeight="1" x14ac:dyDescent="0.2">
      <c r="F56" s="124"/>
      <c r="G56" s="138"/>
      <c r="M56" s="162"/>
    </row>
    <row r="57" spans="6:13" ht="12.95" customHeight="1" x14ac:dyDescent="0.2">
      <c r="F57" s="124"/>
      <c r="G57" s="138"/>
      <c r="M57" s="162"/>
    </row>
    <row r="58" spans="6:13" ht="17.100000000000001" customHeight="1" x14ac:dyDescent="0.2">
      <c r="F58" s="124"/>
      <c r="G58" s="138"/>
      <c r="M58" s="162"/>
    </row>
    <row r="59" spans="6:13" ht="14.25" x14ac:dyDescent="0.2">
      <c r="F59" s="124"/>
      <c r="G59" s="138"/>
      <c r="M59" s="162"/>
    </row>
    <row r="60" spans="6:13" ht="14.25" x14ac:dyDescent="0.2">
      <c r="F60" s="124"/>
      <c r="G60" s="138"/>
      <c r="M60" s="162"/>
    </row>
    <row r="61" spans="6:13" ht="14.25" x14ac:dyDescent="0.2">
      <c r="F61" s="124"/>
      <c r="G61" s="138"/>
      <c r="M61" s="162"/>
    </row>
    <row r="62" spans="6:13" ht="14.25" x14ac:dyDescent="0.2">
      <c r="F62" s="124"/>
      <c r="G62" s="138"/>
      <c r="M62" s="162"/>
    </row>
    <row r="63" spans="6:13" ht="14.25" x14ac:dyDescent="0.2">
      <c r="F63" s="124"/>
      <c r="G63" s="138"/>
      <c r="M63" s="162"/>
    </row>
    <row r="64" spans="6:13" ht="14.25" x14ac:dyDescent="0.2">
      <c r="F64" s="124"/>
      <c r="G64" s="138"/>
      <c r="M64" s="162"/>
    </row>
    <row r="65" spans="6:13" ht="14.25" x14ac:dyDescent="0.2">
      <c r="F65" s="124"/>
      <c r="G65" s="138"/>
      <c r="M65" s="162"/>
    </row>
    <row r="66" spans="6:13" ht="14.25" x14ac:dyDescent="0.2">
      <c r="F66" s="124"/>
      <c r="G66" s="138"/>
      <c r="M66" s="162"/>
    </row>
    <row r="67" spans="6:13" ht="14.25" x14ac:dyDescent="0.2">
      <c r="F67" s="124"/>
      <c r="G67" s="138"/>
      <c r="M67" s="162"/>
    </row>
    <row r="68" spans="6:13" ht="14.25" x14ac:dyDescent="0.2">
      <c r="F68" s="124"/>
      <c r="G68" s="138"/>
      <c r="M68" s="162"/>
    </row>
    <row r="69" spans="6:13" ht="14.25" x14ac:dyDescent="0.2">
      <c r="F69" s="124"/>
      <c r="G69" s="138"/>
      <c r="M69" s="162"/>
    </row>
    <row r="70" spans="6:13" ht="14.25" x14ac:dyDescent="0.2">
      <c r="F70" s="124"/>
      <c r="G70" s="138"/>
      <c r="M70" s="162"/>
    </row>
    <row r="71" spans="6:13" ht="14.25" x14ac:dyDescent="0.2">
      <c r="F71" s="124"/>
      <c r="G71" s="138"/>
      <c r="M71" s="162"/>
    </row>
    <row r="72" spans="6:13" ht="14.25" x14ac:dyDescent="0.2">
      <c r="F72" s="124"/>
      <c r="G72" s="124"/>
      <c r="M72" s="162"/>
    </row>
    <row r="73" spans="6:13" ht="14.25" x14ac:dyDescent="0.2">
      <c r="F73" s="124"/>
      <c r="G73" s="124"/>
      <c r="M73" s="162"/>
    </row>
    <row r="74" spans="6:13" ht="14.25" x14ac:dyDescent="0.2">
      <c r="F74" s="124"/>
      <c r="G74" s="124"/>
      <c r="M74" s="162"/>
    </row>
    <row r="75" spans="6:13" ht="14.25" x14ac:dyDescent="0.2">
      <c r="F75" s="124"/>
      <c r="G75" s="124"/>
      <c r="M75" s="162"/>
    </row>
    <row r="76" spans="6:13" ht="14.25" x14ac:dyDescent="0.2">
      <c r="F76" s="124"/>
      <c r="G76" s="124"/>
      <c r="M76" s="162"/>
    </row>
    <row r="77" spans="6:13" ht="14.25" x14ac:dyDescent="0.2">
      <c r="F77" s="124"/>
      <c r="G77" s="124"/>
      <c r="M77" s="162"/>
    </row>
    <row r="78" spans="6:13" ht="14.25" x14ac:dyDescent="0.2">
      <c r="F78" s="124"/>
      <c r="G78" s="124"/>
      <c r="M78" s="162"/>
    </row>
    <row r="79" spans="6:13" ht="14.25" x14ac:dyDescent="0.2">
      <c r="F79" s="124"/>
      <c r="G79" s="124"/>
      <c r="M79" s="162"/>
    </row>
    <row r="80" spans="6:13" ht="14.25" x14ac:dyDescent="0.2">
      <c r="F80" s="124"/>
      <c r="G80" s="124"/>
      <c r="M80" s="162"/>
    </row>
    <row r="81" spans="6:13" ht="14.25" x14ac:dyDescent="0.2">
      <c r="F81" s="124"/>
      <c r="G81" s="124"/>
      <c r="M81" s="162"/>
    </row>
    <row r="82" spans="6:13" ht="14.25" x14ac:dyDescent="0.2">
      <c r="F82" s="124"/>
      <c r="G82" s="124"/>
      <c r="M82" s="162"/>
    </row>
    <row r="83" spans="6:13" ht="14.25" x14ac:dyDescent="0.2">
      <c r="F83" s="124"/>
      <c r="G83" s="124"/>
      <c r="M83" s="162"/>
    </row>
    <row r="84" spans="6:13" ht="14.25" x14ac:dyDescent="0.2">
      <c r="F84" s="124"/>
      <c r="G84" s="124"/>
      <c r="M84" s="162"/>
    </row>
    <row r="85" spans="6:13" ht="14.25" x14ac:dyDescent="0.2">
      <c r="F85" s="124"/>
      <c r="G85" s="124"/>
      <c r="M85" s="162"/>
    </row>
    <row r="86" spans="6:13" ht="14.25" x14ac:dyDescent="0.2">
      <c r="F86" s="124"/>
      <c r="G86" s="124"/>
      <c r="M86" s="162"/>
    </row>
    <row r="87" spans="6:13" ht="14.25" x14ac:dyDescent="0.2">
      <c r="F87" s="124"/>
      <c r="G87" s="124"/>
      <c r="M87" s="162"/>
    </row>
    <row r="88" spans="6:13" ht="14.25" x14ac:dyDescent="0.2">
      <c r="F88" s="124"/>
      <c r="G88" s="124"/>
      <c r="M88" s="162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2:Q46"/>
  <sheetViews>
    <sheetView zoomScaleNormal="100" workbookViewId="0">
      <selection activeCell="F26" sqref="F26"/>
    </sheetView>
  </sheetViews>
  <sheetFormatPr defaultRowHeight="12.75" x14ac:dyDescent="0.2"/>
  <cols>
    <col min="1" max="1" width="11.85546875" style="34" customWidth="1"/>
    <col min="2" max="2" width="82.28515625" customWidth="1"/>
    <col min="3" max="11" width="10.7109375" customWidth="1"/>
    <col min="12" max="12" width="11.42578125" style="38" customWidth="1"/>
    <col min="13" max="13" width="10.140625" bestFit="1" customWidth="1"/>
  </cols>
  <sheetData>
    <row r="2" spans="1:17" ht="15.75" x14ac:dyDescent="0.25">
      <c r="A2" s="621" t="s">
        <v>814</v>
      </c>
      <c r="B2" s="678"/>
      <c r="C2" s="678"/>
      <c r="D2" s="678"/>
      <c r="E2" s="678"/>
      <c r="F2" s="678"/>
      <c r="G2" s="678"/>
      <c r="H2" s="678"/>
      <c r="I2" s="678"/>
      <c r="J2" s="678"/>
      <c r="K2" s="678"/>
      <c r="L2" s="678"/>
    </row>
    <row r="4" spans="1:17" s="38" customFormat="1" ht="51" x14ac:dyDescent="0.2">
      <c r="A4" s="77" t="s">
        <v>568</v>
      </c>
      <c r="B4" s="78" t="s">
        <v>569</v>
      </c>
      <c r="C4" s="77" t="s">
        <v>570</v>
      </c>
      <c r="D4" s="77" t="s">
        <v>571</v>
      </c>
      <c r="E4" s="77" t="s">
        <v>572</v>
      </c>
      <c r="F4" s="77" t="s">
        <v>573</v>
      </c>
      <c r="G4" s="77" t="s">
        <v>574</v>
      </c>
      <c r="H4" s="77" t="s">
        <v>575</v>
      </c>
      <c r="I4" s="77" t="s">
        <v>576</v>
      </c>
      <c r="J4" s="77" t="s">
        <v>577</v>
      </c>
      <c r="K4" s="77" t="s">
        <v>578</v>
      </c>
      <c r="L4" s="77" t="s">
        <v>291</v>
      </c>
    </row>
    <row r="5" spans="1:17" ht="20.100000000000001" customHeight="1" x14ac:dyDescent="0.2">
      <c r="A5" s="71">
        <v>10010001</v>
      </c>
      <c r="B5" s="21" t="s">
        <v>16</v>
      </c>
      <c r="C5" s="69">
        <f>'1'!M9</f>
        <v>802470</v>
      </c>
      <c r="D5" s="69">
        <f>'1'!M10</f>
        <v>145850</v>
      </c>
      <c r="E5" s="69">
        <f>'1'!M12</f>
        <v>84480</v>
      </c>
      <c r="F5" s="69">
        <f>'1'!M15</f>
        <v>479320</v>
      </c>
      <c r="G5" s="69">
        <v>0</v>
      </c>
      <c r="H5" s="69">
        <v>0</v>
      </c>
      <c r="I5" s="21">
        <v>0</v>
      </c>
      <c r="J5" s="69">
        <f>'1'!M26</f>
        <v>10000</v>
      </c>
      <c r="K5" s="21">
        <v>0</v>
      </c>
      <c r="L5" s="70">
        <f>SUM(C5:K5)</f>
        <v>1522120</v>
      </c>
    </row>
    <row r="6" spans="1:17" ht="20.100000000000001" customHeight="1" x14ac:dyDescent="0.2">
      <c r="A6" s="71">
        <v>11010001</v>
      </c>
      <c r="B6" s="21" t="s">
        <v>19</v>
      </c>
      <c r="C6" s="69">
        <f>'2'!M14</f>
        <v>235800</v>
      </c>
      <c r="D6" s="69">
        <f>'2'!M15+'2'!M16</f>
        <v>63910</v>
      </c>
      <c r="E6" s="69">
        <f>'2'!M18</f>
        <v>24950</v>
      </c>
      <c r="F6" s="69">
        <f>'2'!M21</f>
        <v>328100</v>
      </c>
      <c r="G6" s="69">
        <f>'2'!M34</f>
        <v>780000</v>
      </c>
      <c r="H6" s="69">
        <f>'2'!M42</f>
        <v>10000</v>
      </c>
      <c r="I6" s="21">
        <v>0</v>
      </c>
      <c r="J6" s="69">
        <f>'2'!M45</f>
        <v>1250000</v>
      </c>
      <c r="K6" s="21">
        <v>0</v>
      </c>
      <c r="L6" s="70">
        <f t="shared" ref="L6:L42" si="0">SUM(C6:K6)</f>
        <v>2692760</v>
      </c>
      <c r="O6" s="49"/>
    </row>
    <row r="7" spans="1:17" ht="20.100000000000001" customHeight="1" x14ac:dyDescent="0.2">
      <c r="A7" s="71">
        <v>11010003</v>
      </c>
      <c r="B7" s="21" t="s">
        <v>22</v>
      </c>
      <c r="C7" s="69">
        <f>'3'!M9</f>
        <v>72680</v>
      </c>
      <c r="D7" s="69">
        <f>'3'!M10</f>
        <v>20900</v>
      </c>
      <c r="E7" s="69">
        <f>'3'!M12</f>
        <v>7720</v>
      </c>
      <c r="F7" s="69">
        <f>'3'!M15</f>
        <v>2000</v>
      </c>
      <c r="G7" s="21">
        <v>0</v>
      </c>
      <c r="H7" s="21">
        <v>0</v>
      </c>
      <c r="I7" s="21">
        <v>0</v>
      </c>
      <c r="J7" s="69">
        <f>'3'!M26</f>
        <v>1000</v>
      </c>
      <c r="K7" s="21">
        <v>0</v>
      </c>
      <c r="L7" s="70">
        <f t="shared" si="0"/>
        <v>104300</v>
      </c>
    </row>
    <row r="8" spans="1:17" ht="20.100000000000001" customHeight="1" x14ac:dyDescent="0.2">
      <c r="A8" s="71">
        <v>11010004</v>
      </c>
      <c r="B8" s="21" t="s">
        <v>25</v>
      </c>
      <c r="C8" s="69">
        <f>'4'!M9</f>
        <v>75940</v>
      </c>
      <c r="D8" s="69">
        <f>'4'!M10</f>
        <v>12410</v>
      </c>
      <c r="E8" s="69">
        <f>'4'!M12</f>
        <v>8200</v>
      </c>
      <c r="F8" s="69">
        <f>'4'!M15</f>
        <v>7650</v>
      </c>
      <c r="G8" s="21">
        <v>0</v>
      </c>
      <c r="H8" s="21">
        <v>0</v>
      </c>
      <c r="I8" s="21">
        <v>0</v>
      </c>
      <c r="J8" s="69">
        <f>'4'!M26</f>
        <v>2000</v>
      </c>
      <c r="K8" s="21">
        <v>0</v>
      </c>
      <c r="L8" s="70">
        <f t="shared" si="0"/>
        <v>106200</v>
      </c>
    </row>
    <row r="9" spans="1:17" ht="20.100000000000001" customHeight="1" x14ac:dyDescent="0.2">
      <c r="A9" s="71">
        <v>11010005</v>
      </c>
      <c r="B9" s="248" t="s">
        <v>830</v>
      </c>
      <c r="C9" s="69">
        <f>'5'!M9</f>
        <v>237270</v>
      </c>
      <c r="D9" s="69">
        <f>'5'!M10</f>
        <v>43810</v>
      </c>
      <c r="E9" s="69">
        <f>'5'!M12</f>
        <v>25320</v>
      </c>
      <c r="F9" s="69">
        <f>'5'!M15</f>
        <v>35500</v>
      </c>
      <c r="G9" s="21">
        <v>0</v>
      </c>
      <c r="H9" s="21">
        <v>0</v>
      </c>
      <c r="I9" s="21">
        <v>0</v>
      </c>
      <c r="J9" s="69">
        <f>'5'!M26</f>
        <v>5000</v>
      </c>
      <c r="K9" s="21">
        <v>0</v>
      </c>
      <c r="L9" s="70">
        <f t="shared" si="0"/>
        <v>346900</v>
      </c>
    </row>
    <row r="10" spans="1:17" ht="20.100000000000001" customHeight="1" x14ac:dyDescent="0.2">
      <c r="A10" s="71">
        <v>11010006</v>
      </c>
      <c r="B10" s="21" t="s">
        <v>579</v>
      </c>
      <c r="C10" s="69">
        <f>'6'!M9</f>
        <v>131630</v>
      </c>
      <c r="D10" s="69">
        <f>'6'!M10</f>
        <v>26640</v>
      </c>
      <c r="E10" s="69">
        <f>'6'!M12</f>
        <v>13930</v>
      </c>
      <c r="F10" s="69">
        <f>'6'!M15</f>
        <v>7000</v>
      </c>
      <c r="G10" s="69">
        <f>'6'!M26</f>
        <v>400000</v>
      </c>
      <c r="H10" s="21">
        <v>0</v>
      </c>
      <c r="I10" s="21">
        <v>0</v>
      </c>
      <c r="J10" s="69">
        <f>'6'!M29</f>
        <v>2000</v>
      </c>
      <c r="K10" s="21">
        <v>0</v>
      </c>
      <c r="L10" s="70">
        <f t="shared" ref="L10" si="1">SUM(C10:K10)</f>
        <v>581200</v>
      </c>
    </row>
    <row r="11" spans="1:17" ht="20.100000000000001" customHeight="1" x14ac:dyDescent="0.2">
      <c r="A11" s="71">
        <v>11010007</v>
      </c>
      <c r="B11" s="248" t="s">
        <v>829</v>
      </c>
      <c r="C11" s="69">
        <f>'7N'!M9</f>
        <v>60700</v>
      </c>
      <c r="D11" s="69">
        <f>'7N'!M10</f>
        <v>9800</v>
      </c>
      <c r="E11" s="69">
        <f>'7N'!M12</f>
        <v>2720</v>
      </c>
      <c r="F11" s="69">
        <f>'7N'!M15</f>
        <v>4100</v>
      </c>
      <c r="G11" s="21">
        <v>0</v>
      </c>
      <c r="H11" s="21">
        <v>0</v>
      </c>
      <c r="I11" s="21">
        <v>0</v>
      </c>
      <c r="J11" s="69">
        <f>'7N'!M26</f>
        <v>5000</v>
      </c>
      <c r="K11" s="21">
        <v>0</v>
      </c>
      <c r="L11" s="70">
        <f t="shared" ref="L11" si="2">SUM(C11:K11)</f>
        <v>82320</v>
      </c>
    </row>
    <row r="12" spans="1:17" ht="20.100000000000001" customHeight="1" x14ac:dyDescent="0.2">
      <c r="A12" s="71">
        <v>12010001</v>
      </c>
      <c r="B12" s="21" t="s">
        <v>33</v>
      </c>
      <c r="C12" s="69">
        <f>'8'!M9</f>
        <v>505590</v>
      </c>
      <c r="D12" s="69">
        <f>'8'!M10</f>
        <v>105600</v>
      </c>
      <c r="E12" s="69">
        <f>'8'!M12</f>
        <v>53880</v>
      </c>
      <c r="F12" s="69">
        <f>'8'!M15</f>
        <v>460000</v>
      </c>
      <c r="G12" s="21">
        <v>0</v>
      </c>
      <c r="H12" s="21">
        <v>0</v>
      </c>
      <c r="I12" s="21">
        <v>0</v>
      </c>
      <c r="J12" s="69">
        <f>'8'!M26</f>
        <v>80000</v>
      </c>
      <c r="K12" s="21">
        <v>0</v>
      </c>
      <c r="L12" s="70">
        <f t="shared" si="0"/>
        <v>1205070</v>
      </c>
    </row>
    <row r="13" spans="1:17" ht="20.100000000000001" customHeight="1" x14ac:dyDescent="0.2">
      <c r="A13" s="71">
        <v>13010001</v>
      </c>
      <c r="B13" s="21" t="s">
        <v>36</v>
      </c>
      <c r="C13" s="69">
        <f>'9'!M9</f>
        <v>7335590</v>
      </c>
      <c r="D13" s="69">
        <f>'9'!M10</f>
        <v>1419040</v>
      </c>
      <c r="E13" s="69">
        <f>'9'!M12</f>
        <v>1111710</v>
      </c>
      <c r="F13" s="69">
        <f>'9'!M17</f>
        <v>1092800</v>
      </c>
      <c r="G13" s="21">
        <v>0</v>
      </c>
      <c r="H13" s="21">
        <v>0</v>
      </c>
      <c r="I13" s="21">
        <v>0</v>
      </c>
      <c r="J13" s="69">
        <f>'9'!M28</f>
        <v>430000</v>
      </c>
      <c r="K13" s="21">
        <v>0</v>
      </c>
      <c r="L13" s="70">
        <f t="shared" si="0"/>
        <v>11389140</v>
      </c>
    </row>
    <row r="14" spans="1:17" ht="20.100000000000001" customHeight="1" x14ac:dyDescent="0.2">
      <c r="A14" s="71">
        <v>14010001</v>
      </c>
      <c r="B14" s="21" t="s">
        <v>39</v>
      </c>
      <c r="C14" s="69">
        <f>'10'!M9</f>
        <v>227490</v>
      </c>
      <c r="D14" s="69">
        <f>'10'!M10</f>
        <v>37330</v>
      </c>
      <c r="E14" s="69">
        <f>'10'!M12</f>
        <v>23980</v>
      </c>
      <c r="F14" s="69">
        <f>'10'!M15</f>
        <v>214800</v>
      </c>
      <c r="G14" s="21">
        <v>0</v>
      </c>
      <c r="H14" s="21">
        <v>0</v>
      </c>
      <c r="I14" s="21">
        <v>0</v>
      </c>
      <c r="J14" s="69">
        <f>'10'!M28</f>
        <v>5000</v>
      </c>
      <c r="K14" s="21">
        <v>0</v>
      </c>
      <c r="L14" s="70">
        <f t="shared" si="0"/>
        <v>508600</v>
      </c>
    </row>
    <row r="15" spans="1:17" ht="20.100000000000001" customHeight="1" x14ac:dyDescent="0.2">
      <c r="A15" s="71">
        <v>14020003</v>
      </c>
      <c r="B15" s="21" t="s">
        <v>580</v>
      </c>
      <c r="C15" s="69">
        <f>'11'!M9</f>
        <v>1464190</v>
      </c>
      <c r="D15" s="69">
        <f>'11'!M10</f>
        <v>228100</v>
      </c>
      <c r="E15" s="69">
        <f>'11'!M12</f>
        <v>151740</v>
      </c>
      <c r="F15" s="69">
        <f>'11'!M15</f>
        <v>300000</v>
      </c>
      <c r="G15" s="21">
        <v>0</v>
      </c>
      <c r="H15" s="21">
        <v>0</v>
      </c>
      <c r="I15" s="21">
        <v>0</v>
      </c>
      <c r="J15" s="69">
        <f>'11'!M27</f>
        <v>102000</v>
      </c>
      <c r="K15" s="21">
        <v>0</v>
      </c>
      <c r="L15" s="70">
        <f t="shared" si="0"/>
        <v>2246030</v>
      </c>
    </row>
    <row r="16" spans="1:17" ht="20.100000000000001" customHeight="1" x14ac:dyDescent="0.2">
      <c r="A16" s="71">
        <v>14050001</v>
      </c>
      <c r="B16" s="21" t="s">
        <v>581</v>
      </c>
      <c r="C16" s="69">
        <f>'12'!M9</f>
        <v>48020</v>
      </c>
      <c r="D16" s="69">
        <f>'12'!M10</f>
        <v>4770</v>
      </c>
      <c r="E16" s="69">
        <f>'12'!M12</f>
        <v>5100</v>
      </c>
      <c r="F16" s="69">
        <f>'12'!M15</f>
        <v>4000</v>
      </c>
      <c r="G16" s="21">
        <v>0</v>
      </c>
      <c r="H16" s="21">
        <v>0</v>
      </c>
      <c r="I16" s="21">
        <v>0</v>
      </c>
      <c r="J16" s="69">
        <f>'12'!M26</f>
        <v>1000</v>
      </c>
      <c r="K16" s="21">
        <v>0</v>
      </c>
      <c r="L16" s="70">
        <f t="shared" si="0"/>
        <v>62890</v>
      </c>
      <c r="Q16" s="247" t="s">
        <v>515</v>
      </c>
    </row>
    <row r="17" spans="1:15" ht="20.100000000000001" customHeight="1" x14ac:dyDescent="0.2">
      <c r="A17" s="71">
        <v>14050002</v>
      </c>
      <c r="B17" s="21" t="s">
        <v>582</v>
      </c>
      <c r="C17" s="69">
        <f>'13'!M9</f>
        <v>98180</v>
      </c>
      <c r="D17" s="69">
        <f>'13'!M10</f>
        <v>14680</v>
      </c>
      <c r="E17" s="69">
        <f>'13'!M12</f>
        <v>10390</v>
      </c>
      <c r="F17" s="69">
        <f>'13'!M15</f>
        <v>5100</v>
      </c>
      <c r="G17" s="21">
        <v>0</v>
      </c>
      <c r="H17" s="21">
        <v>0</v>
      </c>
      <c r="I17" s="21">
        <v>0</v>
      </c>
      <c r="J17" s="69">
        <f>'13'!M26</f>
        <v>2000</v>
      </c>
      <c r="K17" s="21">
        <v>0</v>
      </c>
      <c r="L17" s="70">
        <f t="shared" si="0"/>
        <v>130350</v>
      </c>
    </row>
    <row r="18" spans="1:15" ht="20.100000000000001" customHeight="1" x14ac:dyDescent="0.2">
      <c r="A18" s="71">
        <v>14060001</v>
      </c>
      <c r="B18" s="21" t="s">
        <v>583</v>
      </c>
      <c r="C18" s="69">
        <f>'14'!M9</f>
        <v>97180</v>
      </c>
      <c r="D18" s="69">
        <f>'14'!M10</f>
        <v>19970</v>
      </c>
      <c r="E18" s="69">
        <f>'14'!M12</f>
        <v>9770</v>
      </c>
      <c r="F18" s="69">
        <f>'14'!M15</f>
        <v>6600</v>
      </c>
      <c r="G18" s="21">
        <v>0</v>
      </c>
      <c r="H18" s="21">
        <v>0</v>
      </c>
      <c r="I18" s="21">
        <v>0</v>
      </c>
      <c r="J18" s="69">
        <f>'14'!M26</f>
        <v>1000</v>
      </c>
      <c r="K18" s="21">
        <v>0</v>
      </c>
      <c r="L18" s="70">
        <f t="shared" si="0"/>
        <v>134520</v>
      </c>
    </row>
    <row r="19" spans="1:15" ht="20.100000000000001" customHeight="1" x14ac:dyDescent="0.2">
      <c r="A19" s="71">
        <v>14070001</v>
      </c>
      <c r="B19" s="248" t="s">
        <v>584</v>
      </c>
      <c r="C19" s="69">
        <f>'15'!K9</f>
        <v>63780</v>
      </c>
      <c r="D19" s="69">
        <f>'15'!K10</f>
        <v>12210</v>
      </c>
      <c r="E19" s="69">
        <f>'15'!K13</f>
        <v>6750</v>
      </c>
      <c r="F19" s="69">
        <f>'15'!K15</f>
        <v>5100</v>
      </c>
      <c r="G19" s="69">
        <v>0</v>
      </c>
      <c r="H19" s="21">
        <v>0</v>
      </c>
      <c r="I19" s="21">
        <v>0</v>
      </c>
      <c r="J19" s="69">
        <f>'15'!K26</f>
        <v>10000</v>
      </c>
      <c r="K19" s="21">
        <v>0</v>
      </c>
      <c r="L19" s="70">
        <f t="shared" ref="L19" si="3">SUM(C19:K19)</f>
        <v>97840</v>
      </c>
    </row>
    <row r="20" spans="1:15" ht="20.100000000000001" customHeight="1" x14ac:dyDescent="0.2">
      <c r="A20" s="71">
        <v>15010001</v>
      </c>
      <c r="B20" s="21" t="s">
        <v>585</v>
      </c>
      <c r="C20" s="69">
        <f>'16'!M9</f>
        <v>366920</v>
      </c>
      <c r="D20" s="69">
        <f>'16'!M10</f>
        <v>59330</v>
      </c>
      <c r="E20" s="69">
        <f>'16'!M12</f>
        <v>39050</v>
      </c>
      <c r="F20" s="69">
        <f>'16'!M15</f>
        <v>30350</v>
      </c>
      <c r="G20" s="69">
        <f>'16'!M27</f>
        <v>1570000</v>
      </c>
      <c r="H20" s="69">
        <f>'16'!M31</f>
        <v>1000000</v>
      </c>
      <c r="I20" s="21">
        <v>0</v>
      </c>
      <c r="J20" s="69">
        <f>'16'!M35</f>
        <v>5000</v>
      </c>
      <c r="K20" s="21">
        <v>0</v>
      </c>
      <c r="L20" s="70">
        <f t="shared" si="0"/>
        <v>3070650</v>
      </c>
    </row>
    <row r="21" spans="1:15" ht="20.100000000000001" customHeight="1" x14ac:dyDescent="0.2">
      <c r="A21" s="71">
        <v>16010001</v>
      </c>
      <c r="B21" s="21" t="s">
        <v>51</v>
      </c>
      <c r="C21" s="69">
        <f>'17'!M12</f>
        <v>564620</v>
      </c>
      <c r="D21" s="69">
        <f>'17'!M13</f>
        <v>89310</v>
      </c>
      <c r="E21" s="69">
        <f>'17'!M15</f>
        <v>59940</v>
      </c>
      <c r="F21" s="69">
        <f>'17'!M18</f>
        <v>173000</v>
      </c>
      <c r="G21" s="69">
        <f>'17'!M30</f>
        <v>605000</v>
      </c>
      <c r="H21" s="69">
        <v>0</v>
      </c>
      <c r="I21" s="69">
        <f>'17'!M35</f>
        <v>14330</v>
      </c>
      <c r="J21" s="69">
        <f>'17'!M39</f>
        <v>15000</v>
      </c>
      <c r="K21" s="69">
        <f>'17'!M43</f>
        <v>518870</v>
      </c>
      <c r="L21" s="70">
        <f t="shared" si="0"/>
        <v>2040070</v>
      </c>
      <c r="O21" s="49"/>
    </row>
    <row r="22" spans="1:15" ht="20.100000000000001" customHeight="1" x14ac:dyDescent="0.2">
      <c r="A22" s="71">
        <v>17010001</v>
      </c>
      <c r="B22" s="21" t="s">
        <v>52</v>
      </c>
      <c r="C22" s="69">
        <f>'18'!M9</f>
        <v>391560</v>
      </c>
      <c r="D22" s="69">
        <f>'18'!M10</f>
        <v>68210</v>
      </c>
      <c r="E22" s="69">
        <f>'18'!M12</f>
        <v>43940</v>
      </c>
      <c r="F22" s="69">
        <f>'18'!M15</f>
        <v>91500</v>
      </c>
      <c r="G22" s="69">
        <f>'18'!M26</f>
        <v>5890000</v>
      </c>
      <c r="H22" s="69">
        <v>0</v>
      </c>
      <c r="I22" s="21">
        <v>0</v>
      </c>
      <c r="J22" s="69">
        <f>'18'!M32</f>
        <v>3500</v>
      </c>
      <c r="K22" s="21">
        <v>0</v>
      </c>
      <c r="L22" s="70">
        <f t="shared" si="0"/>
        <v>6488710</v>
      </c>
    </row>
    <row r="23" spans="1:15" ht="20.100000000000001" customHeight="1" x14ac:dyDescent="0.2">
      <c r="A23" s="71">
        <v>18010001</v>
      </c>
      <c r="B23" s="21" t="s">
        <v>53</v>
      </c>
      <c r="C23" s="69">
        <f>'19'!M9</f>
        <v>423010</v>
      </c>
      <c r="D23" s="69">
        <f>'19'!M10</f>
        <v>90060</v>
      </c>
      <c r="E23" s="69">
        <f>'19'!M12</f>
        <v>48450</v>
      </c>
      <c r="F23" s="69">
        <f>'19'!M15</f>
        <v>828000</v>
      </c>
      <c r="G23" s="69">
        <f>'19'!M27</f>
        <v>587470</v>
      </c>
      <c r="H23" s="21">
        <v>0</v>
      </c>
      <c r="I23" s="21">
        <v>0</v>
      </c>
      <c r="J23" s="69">
        <f>'19'!M30</f>
        <v>1910000</v>
      </c>
      <c r="K23" s="21">
        <v>0</v>
      </c>
      <c r="L23" s="70">
        <f t="shared" si="0"/>
        <v>3886990</v>
      </c>
    </row>
    <row r="24" spans="1:15" ht="20.100000000000001" customHeight="1" x14ac:dyDescent="0.2">
      <c r="A24" s="71">
        <v>19010001</v>
      </c>
      <c r="B24" s="21" t="s">
        <v>586</v>
      </c>
      <c r="C24" s="69">
        <f>'20'!M9</f>
        <v>977660</v>
      </c>
      <c r="D24" s="69">
        <f>'20'!M10</f>
        <v>163470</v>
      </c>
      <c r="E24" s="69">
        <f>'20'!M12</f>
        <v>103010</v>
      </c>
      <c r="F24" s="69">
        <f>'20'!M15</f>
        <v>100000</v>
      </c>
      <c r="G24" s="69">
        <f>'20'!M26</f>
        <v>2450000</v>
      </c>
      <c r="H24" s="69">
        <f>'20'!M32</f>
        <v>450000</v>
      </c>
      <c r="I24" s="21">
        <v>0</v>
      </c>
      <c r="J24" s="69">
        <f>'20'!M36</f>
        <v>80000</v>
      </c>
      <c r="K24" s="21">
        <v>0</v>
      </c>
      <c r="L24" s="70">
        <f t="shared" si="0"/>
        <v>4324140</v>
      </c>
    </row>
    <row r="25" spans="1:15" ht="20.100000000000001" customHeight="1" x14ac:dyDescent="0.2">
      <c r="A25" s="71">
        <v>20010001</v>
      </c>
      <c r="B25" s="21" t="s">
        <v>55</v>
      </c>
      <c r="C25" s="69">
        <f>'21'!M9</f>
        <v>492890</v>
      </c>
      <c r="D25" s="69">
        <f>'21'!M10</f>
        <v>90580</v>
      </c>
      <c r="E25" s="69">
        <f>'21'!M12</f>
        <v>51460</v>
      </c>
      <c r="F25" s="69">
        <f>'21'!M15</f>
        <v>1143440</v>
      </c>
      <c r="G25" s="69">
        <f>'21'!M30</f>
        <v>2180000</v>
      </c>
      <c r="H25" s="69">
        <f>'21'!M41</f>
        <v>250000</v>
      </c>
      <c r="I25" s="69">
        <v>0</v>
      </c>
      <c r="J25" s="69">
        <f>'21'!M44</f>
        <v>1291700</v>
      </c>
      <c r="K25" s="69">
        <v>0</v>
      </c>
      <c r="L25" s="70">
        <f t="shared" si="0"/>
        <v>5500070</v>
      </c>
    </row>
    <row r="26" spans="1:15" ht="20.100000000000001" customHeight="1" x14ac:dyDescent="0.2">
      <c r="A26" s="71">
        <v>20020002</v>
      </c>
      <c r="B26" s="21" t="s">
        <v>587</v>
      </c>
      <c r="C26" s="69">
        <f>'22'!M9</f>
        <v>1200280</v>
      </c>
      <c r="D26" s="69">
        <f>'22'!M10</f>
        <v>234670</v>
      </c>
      <c r="E26" s="69">
        <f>'22'!M12</f>
        <v>126720</v>
      </c>
      <c r="F26" s="69">
        <f>'22'!M15</f>
        <v>190570</v>
      </c>
      <c r="G26" s="21">
        <v>0</v>
      </c>
      <c r="H26" s="21">
        <v>0</v>
      </c>
      <c r="I26" s="21">
        <v>0</v>
      </c>
      <c r="J26" s="69">
        <f>'22'!M26</f>
        <v>42000</v>
      </c>
      <c r="K26" s="21">
        <v>0</v>
      </c>
      <c r="L26" s="70">
        <f t="shared" si="0"/>
        <v>1794240</v>
      </c>
    </row>
    <row r="27" spans="1:15" ht="20.100000000000001" customHeight="1" x14ac:dyDescent="0.2">
      <c r="A27" s="71">
        <v>20020003</v>
      </c>
      <c r="B27" s="21" t="s">
        <v>588</v>
      </c>
      <c r="C27" s="69">
        <f>'23'!M9</f>
        <v>1126330</v>
      </c>
      <c r="D27" s="69">
        <f>'23'!M10</f>
        <v>228600</v>
      </c>
      <c r="E27" s="69">
        <f>'23'!M12</f>
        <v>119560</v>
      </c>
      <c r="F27" s="69">
        <f>'23'!M15</f>
        <v>198160</v>
      </c>
      <c r="G27" s="21">
        <v>0</v>
      </c>
      <c r="H27" s="21">
        <v>0</v>
      </c>
      <c r="I27" s="21">
        <v>0</v>
      </c>
      <c r="J27" s="69">
        <f>'23'!M26</f>
        <v>20000</v>
      </c>
      <c r="K27" s="21">
        <v>0</v>
      </c>
      <c r="L27" s="70">
        <f t="shared" si="0"/>
        <v>1692650</v>
      </c>
    </row>
    <row r="28" spans="1:15" ht="20.100000000000001" customHeight="1" x14ac:dyDescent="0.2">
      <c r="A28" s="71">
        <v>20020004</v>
      </c>
      <c r="B28" s="21" t="s">
        <v>589</v>
      </c>
      <c r="C28" s="69">
        <f>'24'!M9</f>
        <v>1064520</v>
      </c>
      <c r="D28" s="69">
        <f>'24'!M10</f>
        <v>214110</v>
      </c>
      <c r="E28" s="69">
        <f>'24'!M12</f>
        <v>112350</v>
      </c>
      <c r="F28" s="69">
        <f>'24'!M15</f>
        <v>194600</v>
      </c>
      <c r="G28" s="21">
        <v>0</v>
      </c>
      <c r="H28" s="21">
        <v>0</v>
      </c>
      <c r="I28" s="21">
        <v>0</v>
      </c>
      <c r="J28" s="69">
        <f>'24'!M26</f>
        <v>10000</v>
      </c>
      <c r="K28" s="21">
        <v>0</v>
      </c>
      <c r="L28" s="70">
        <f t="shared" si="0"/>
        <v>1595580</v>
      </c>
    </row>
    <row r="29" spans="1:15" ht="20.100000000000001" customHeight="1" x14ac:dyDescent="0.2">
      <c r="A29" s="71">
        <v>20030001</v>
      </c>
      <c r="B29" s="248" t="s">
        <v>590</v>
      </c>
      <c r="C29" s="69">
        <f>'25'!M9</f>
        <v>1563950</v>
      </c>
      <c r="D29" s="69">
        <f>'25'!M10</f>
        <v>283710</v>
      </c>
      <c r="E29" s="69">
        <f>'25'!M12</f>
        <v>171240</v>
      </c>
      <c r="F29" s="69">
        <f>'25'!M15</f>
        <v>139510</v>
      </c>
      <c r="G29" s="21">
        <v>0</v>
      </c>
      <c r="H29" s="21">
        <v>0</v>
      </c>
      <c r="I29" s="21">
        <v>0</v>
      </c>
      <c r="J29" s="69">
        <f>'25'!M26</f>
        <v>17000</v>
      </c>
      <c r="K29" s="21">
        <v>0</v>
      </c>
      <c r="L29" s="70">
        <f t="shared" si="0"/>
        <v>2175410</v>
      </c>
    </row>
    <row r="30" spans="1:15" ht="20.100000000000001" customHeight="1" x14ac:dyDescent="0.2">
      <c r="A30" s="71">
        <v>20030002</v>
      </c>
      <c r="B30" s="21" t="s">
        <v>591</v>
      </c>
      <c r="C30" s="69">
        <f>'26'!M9</f>
        <v>3058680</v>
      </c>
      <c r="D30" s="69">
        <f>'26'!M10</f>
        <v>583590</v>
      </c>
      <c r="E30" s="69">
        <f>'26'!M12</f>
        <v>323090</v>
      </c>
      <c r="F30" s="69">
        <f>'26'!M15</f>
        <v>247220</v>
      </c>
      <c r="G30" s="21">
        <v>0</v>
      </c>
      <c r="H30" s="21">
        <v>0</v>
      </c>
      <c r="I30" s="21">
        <v>0</v>
      </c>
      <c r="J30" s="69">
        <f>'26'!M26</f>
        <v>49000</v>
      </c>
      <c r="K30" s="21">
        <v>0</v>
      </c>
      <c r="L30" s="70">
        <f t="shared" si="0"/>
        <v>4261580</v>
      </c>
    </row>
    <row r="31" spans="1:15" ht="20.100000000000001" customHeight="1" x14ac:dyDescent="0.2">
      <c r="A31" s="71">
        <v>20030003</v>
      </c>
      <c r="B31" s="21" t="s">
        <v>592</v>
      </c>
      <c r="C31" s="69">
        <f>'27'!M9</f>
        <v>815770</v>
      </c>
      <c r="D31" s="69">
        <f>'27'!M10</f>
        <v>139990</v>
      </c>
      <c r="E31" s="69">
        <f>'27'!M12</f>
        <v>86080</v>
      </c>
      <c r="F31" s="69">
        <f>'27'!M15</f>
        <v>69820</v>
      </c>
      <c r="G31" s="21">
        <v>0</v>
      </c>
      <c r="H31" s="21">
        <v>0</v>
      </c>
      <c r="I31" s="21">
        <v>0</v>
      </c>
      <c r="J31" s="69">
        <f>'27'!M26</f>
        <v>35000</v>
      </c>
      <c r="K31" s="21">
        <v>0</v>
      </c>
      <c r="L31" s="70">
        <f t="shared" si="0"/>
        <v>1146660</v>
      </c>
    </row>
    <row r="32" spans="1:15" ht="20.100000000000001" customHeight="1" x14ac:dyDescent="0.2">
      <c r="A32" s="71">
        <v>20030004</v>
      </c>
      <c r="B32" s="21" t="s">
        <v>593</v>
      </c>
      <c r="C32" s="69">
        <f>'28'!M9</f>
        <v>982180</v>
      </c>
      <c r="D32" s="69">
        <f>'28'!M10</f>
        <v>163040</v>
      </c>
      <c r="E32" s="69">
        <f>'28'!M12</f>
        <v>103280</v>
      </c>
      <c r="F32" s="69">
        <f>'28'!M15</f>
        <v>94260</v>
      </c>
      <c r="G32" s="21">
        <v>0</v>
      </c>
      <c r="H32" s="21">
        <v>0</v>
      </c>
      <c r="I32" s="21">
        <v>0</v>
      </c>
      <c r="J32" s="69">
        <f>'28'!M26</f>
        <v>27000</v>
      </c>
      <c r="K32" s="21">
        <v>0</v>
      </c>
      <c r="L32" s="70">
        <f t="shared" si="0"/>
        <v>1369760</v>
      </c>
    </row>
    <row r="33" spans="1:13" ht="20.100000000000001" customHeight="1" x14ac:dyDescent="0.2">
      <c r="A33" s="71">
        <v>20030005</v>
      </c>
      <c r="B33" s="248" t="s">
        <v>594</v>
      </c>
      <c r="C33" s="69">
        <f>'29'!M9</f>
        <v>1050310</v>
      </c>
      <c r="D33" s="69">
        <f>'29'!M10</f>
        <v>210620</v>
      </c>
      <c r="E33" s="69">
        <f>'29'!M12</f>
        <v>116020</v>
      </c>
      <c r="F33" s="69">
        <f>'29'!M15</f>
        <v>148110</v>
      </c>
      <c r="G33" s="21">
        <v>0</v>
      </c>
      <c r="H33" s="21">
        <v>0</v>
      </c>
      <c r="I33" s="21">
        <v>0</v>
      </c>
      <c r="J33" s="69">
        <f>'29'!M26</f>
        <v>16000</v>
      </c>
      <c r="K33" s="21">
        <v>0</v>
      </c>
      <c r="L33" s="70">
        <f t="shared" si="0"/>
        <v>1541060</v>
      </c>
    </row>
    <row r="34" spans="1:13" ht="20.100000000000001" customHeight="1" x14ac:dyDescent="0.2">
      <c r="A34" s="71">
        <v>20030006</v>
      </c>
      <c r="B34" s="21" t="s">
        <v>595</v>
      </c>
      <c r="C34" s="69">
        <f>'30'!M9</f>
        <v>483150</v>
      </c>
      <c r="D34" s="69">
        <f>'30'!M10</f>
        <v>103890</v>
      </c>
      <c r="E34" s="69">
        <f>'30'!M12</f>
        <v>50810</v>
      </c>
      <c r="F34" s="69">
        <f>'30'!M15</f>
        <v>60550</v>
      </c>
      <c r="G34" s="21">
        <v>0</v>
      </c>
      <c r="H34" s="21">
        <v>0</v>
      </c>
      <c r="I34" s="21">
        <v>0</v>
      </c>
      <c r="J34" s="69">
        <f>'30'!M26</f>
        <v>5000</v>
      </c>
      <c r="K34" s="21">
        <v>0</v>
      </c>
      <c r="L34" s="70">
        <f t="shared" si="0"/>
        <v>703400</v>
      </c>
    </row>
    <row r="35" spans="1:13" ht="20.100000000000001" customHeight="1" x14ac:dyDescent="0.2">
      <c r="A35" s="71">
        <v>20030007</v>
      </c>
      <c r="B35" s="21" t="s">
        <v>596</v>
      </c>
      <c r="C35" s="69">
        <f>'31'!M9</f>
        <v>759020</v>
      </c>
      <c r="D35" s="69">
        <f>'31'!M10</f>
        <v>155700</v>
      </c>
      <c r="E35" s="69">
        <f>'31'!M12</f>
        <v>80440</v>
      </c>
      <c r="F35" s="69">
        <f>'31'!M15</f>
        <v>81040</v>
      </c>
      <c r="G35" s="21">
        <v>0</v>
      </c>
      <c r="H35" s="21">
        <v>0</v>
      </c>
      <c r="I35" s="21">
        <v>0</v>
      </c>
      <c r="J35" s="69">
        <f>'31'!M26</f>
        <v>20000</v>
      </c>
      <c r="K35" s="21">
        <v>0</v>
      </c>
      <c r="L35" s="70">
        <f t="shared" si="0"/>
        <v>1096200</v>
      </c>
    </row>
    <row r="36" spans="1:13" ht="20.100000000000001" customHeight="1" x14ac:dyDescent="0.2">
      <c r="A36" s="71">
        <v>21010001</v>
      </c>
      <c r="B36" s="21" t="s">
        <v>21</v>
      </c>
      <c r="C36" s="69">
        <f>'32'!M9</f>
        <v>393180</v>
      </c>
      <c r="D36" s="69">
        <f>'32'!M10</f>
        <v>79880</v>
      </c>
      <c r="E36" s="69">
        <f>'32'!M12</f>
        <v>41430</v>
      </c>
      <c r="F36" s="69">
        <f>'32'!M15</f>
        <v>40300</v>
      </c>
      <c r="G36" s="69">
        <f>'32'!M26</f>
        <v>2100000</v>
      </c>
      <c r="H36" s="21">
        <v>0</v>
      </c>
      <c r="I36" s="21">
        <v>0</v>
      </c>
      <c r="J36" s="69">
        <f>'32'!M30</f>
        <v>7000</v>
      </c>
      <c r="K36" s="21">
        <v>0</v>
      </c>
      <c r="L36" s="70">
        <f t="shared" si="0"/>
        <v>2661790</v>
      </c>
    </row>
    <row r="37" spans="1:13" ht="20.100000000000001" customHeight="1" x14ac:dyDescent="0.2">
      <c r="A37" s="71">
        <v>22010001</v>
      </c>
      <c r="B37" s="21" t="s">
        <v>24</v>
      </c>
      <c r="C37" s="69">
        <f>'33'!M9</f>
        <v>127830</v>
      </c>
      <c r="D37" s="69">
        <f>'33'!M10</f>
        <v>26010</v>
      </c>
      <c r="E37" s="69">
        <f>'33'!M12</f>
        <v>12800</v>
      </c>
      <c r="F37" s="69">
        <f>'33'!M15</f>
        <v>33400</v>
      </c>
      <c r="G37" s="21">
        <v>0</v>
      </c>
      <c r="H37" s="21">
        <v>0</v>
      </c>
      <c r="I37" s="21">
        <v>0</v>
      </c>
      <c r="J37" s="69">
        <f>'33'!M26</f>
        <v>0</v>
      </c>
      <c r="K37" s="21">
        <v>0</v>
      </c>
      <c r="L37" s="70">
        <f t="shared" si="0"/>
        <v>200040</v>
      </c>
    </row>
    <row r="38" spans="1:13" ht="20.100000000000001" customHeight="1" x14ac:dyDescent="0.2">
      <c r="A38" s="71">
        <v>23010001</v>
      </c>
      <c r="B38" s="21" t="s">
        <v>27</v>
      </c>
      <c r="C38" s="69">
        <f>'34'!M9</f>
        <v>1025490</v>
      </c>
      <c r="D38" s="69">
        <f>'34'!M10</f>
        <v>183630</v>
      </c>
      <c r="E38" s="69">
        <f>'34'!M12</f>
        <v>125100</v>
      </c>
      <c r="F38" s="69">
        <f>'34'!M15</f>
        <v>175100</v>
      </c>
      <c r="G38" s="69">
        <f>'34'!M26</f>
        <v>100000</v>
      </c>
      <c r="H38" s="21">
        <v>0</v>
      </c>
      <c r="I38" s="21">
        <v>0</v>
      </c>
      <c r="J38" s="69">
        <f>'34'!M30</f>
        <v>569000</v>
      </c>
      <c r="K38" s="21">
        <v>0</v>
      </c>
      <c r="L38" s="70">
        <f t="shared" si="0"/>
        <v>2178320</v>
      </c>
    </row>
    <row r="39" spans="1:13" ht="20.100000000000001" customHeight="1" x14ac:dyDescent="0.2">
      <c r="A39" s="71">
        <v>24010001</v>
      </c>
      <c r="B39" s="21" t="s">
        <v>29</v>
      </c>
      <c r="C39" s="69">
        <f>'35'!M9</f>
        <v>708150</v>
      </c>
      <c r="D39" s="69">
        <f>'35'!M10</f>
        <v>124940</v>
      </c>
      <c r="E39" s="69">
        <f>'35'!M12</f>
        <v>74220</v>
      </c>
      <c r="F39" s="69">
        <f>'35'!M15</f>
        <v>127500</v>
      </c>
      <c r="G39" s="21">
        <v>0</v>
      </c>
      <c r="H39" s="21">
        <v>0</v>
      </c>
      <c r="I39" s="21">
        <v>0</v>
      </c>
      <c r="J39" s="69">
        <f>'35'!M26</f>
        <v>120000</v>
      </c>
      <c r="K39" s="21">
        <v>0</v>
      </c>
      <c r="L39" s="70">
        <f t="shared" si="0"/>
        <v>1154810</v>
      </c>
    </row>
    <row r="40" spans="1:13" ht="20.100000000000001" customHeight="1" x14ac:dyDescent="0.2">
      <c r="A40" s="71">
        <v>26010001</v>
      </c>
      <c r="B40" s="21" t="s">
        <v>32</v>
      </c>
      <c r="C40" s="69">
        <f>'36'!M9</f>
        <v>93770</v>
      </c>
      <c r="D40" s="69">
        <f>'36'!M10</f>
        <v>13600</v>
      </c>
      <c r="E40" s="69">
        <f>'36'!M12</f>
        <v>9910</v>
      </c>
      <c r="F40" s="69">
        <f>'36'!M15</f>
        <v>9500</v>
      </c>
      <c r="G40" s="69">
        <v>0</v>
      </c>
      <c r="H40" s="21">
        <v>0</v>
      </c>
      <c r="I40" s="21">
        <v>0</v>
      </c>
      <c r="J40" s="69">
        <f>'36'!M26</f>
        <v>2000</v>
      </c>
      <c r="K40" s="21">
        <v>0</v>
      </c>
      <c r="L40" s="70">
        <f t="shared" si="0"/>
        <v>128780</v>
      </c>
    </row>
    <row r="41" spans="1:13" ht="20.100000000000001" customHeight="1" x14ac:dyDescent="0.2">
      <c r="A41" s="71">
        <v>27010001</v>
      </c>
      <c r="B41" s="21" t="s">
        <v>35</v>
      </c>
      <c r="C41" s="69">
        <f>'37'!M9</f>
        <v>626440</v>
      </c>
      <c r="D41" s="69">
        <f>'37'!M10</f>
        <v>87550</v>
      </c>
      <c r="E41" s="69">
        <f>'37'!M12</f>
        <v>66420</v>
      </c>
      <c r="F41" s="69">
        <f>'37'!M15</f>
        <v>104500</v>
      </c>
      <c r="G41" s="21">
        <v>0</v>
      </c>
      <c r="H41" s="21">
        <v>0</v>
      </c>
      <c r="I41" s="21">
        <v>0</v>
      </c>
      <c r="J41" s="69">
        <f>'37'!M26</f>
        <v>113000</v>
      </c>
      <c r="K41" s="21">
        <v>0</v>
      </c>
      <c r="L41" s="70">
        <f t="shared" si="0"/>
        <v>997910</v>
      </c>
    </row>
    <row r="42" spans="1:13" ht="20.100000000000001" customHeight="1" x14ac:dyDescent="0.2">
      <c r="A42" s="71">
        <v>28010001</v>
      </c>
      <c r="B42" s="21" t="s">
        <v>38</v>
      </c>
      <c r="C42" s="69">
        <f>'38'!M9</f>
        <v>502190</v>
      </c>
      <c r="D42" s="69">
        <f>'38'!M10</f>
        <v>69320</v>
      </c>
      <c r="E42" s="69">
        <f>'38'!M12</f>
        <v>52980</v>
      </c>
      <c r="F42" s="69">
        <f>'38'!M15</f>
        <v>31800</v>
      </c>
      <c r="G42" s="69">
        <v>0</v>
      </c>
      <c r="H42" s="21">
        <v>0</v>
      </c>
      <c r="I42" s="21">
        <v>0</v>
      </c>
      <c r="J42" s="69">
        <f>'38'!M26</f>
        <v>3000</v>
      </c>
      <c r="K42" s="21">
        <v>0</v>
      </c>
      <c r="L42" s="70">
        <f t="shared" si="0"/>
        <v>659290</v>
      </c>
    </row>
    <row r="43" spans="1:13" s="38" customFormat="1" ht="20.100000000000001" customHeight="1" x14ac:dyDescent="0.2">
      <c r="A43" s="50"/>
      <c r="B43" s="75" t="s">
        <v>597</v>
      </c>
      <c r="C43" s="76">
        <f>SUM(C5:C42)</f>
        <v>30254410</v>
      </c>
      <c r="D43" s="76">
        <f t="shared" ref="D43:K43" si="4">SUM(D5:D42)</f>
        <v>5628830</v>
      </c>
      <c r="E43" s="76">
        <f t="shared" si="4"/>
        <v>3558940</v>
      </c>
      <c r="F43" s="76">
        <f t="shared" si="4"/>
        <v>7264300</v>
      </c>
      <c r="G43" s="76">
        <f t="shared" si="4"/>
        <v>16662470</v>
      </c>
      <c r="H43" s="76">
        <f t="shared" si="4"/>
        <v>1710000</v>
      </c>
      <c r="I43" s="76">
        <f t="shared" si="4"/>
        <v>14330</v>
      </c>
      <c r="J43" s="76">
        <f t="shared" si="4"/>
        <v>6266200</v>
      </c>
      <c r="K43" s="76">
        <f t="shared" si="4"/>
        <v>518870</v>
      </c>
      <c r="L43" s="76">
        <f>SUM(L5:L42)</f>
        <v>71878350</v>
      </c>
    </row>
    <row r="44" spans="1:13" ht="20.100000000000001" customHeight="1" x14ac:dyDescent="0.2">
      <c r="B44" t="s">
        <v>598</v>
      </c>
      <c r="L44" s="59">
        <f>Rashodi!J9</f>
        <v>580000</v>
      </c>
      <c r="M44" s="49"/>
    </row>
    <row r="45" spans="1:13" ht="20.100000000000001" customHeight="1" x14ac:dyDescent="0.2">
      <c r="B45" t="s">
        <v>599</v>
      </c>
      <c r="L45" s="59">
        <f>Uvod!F43</f>
        <v>0</v>
      </c>
    </row>
    <row r="46" spans="1:13" ht="20.100000000000001" customHeight="1" x14ac:dyDescent="0.2">
      <c r="A46" s="72"/>
      <c r="B46" s="74" t="s">
        <v>597</v>
      </c>
      <c r="C46" s="73"/>
      <c r="D46" s="73"/>
      <c r="E46" s="73"/>
      <c r="F46" s="73"/>
      <c r="G46" s="73"/>
      <c r="H46" s="73"/>
      <c r="I46" s="73"/>
      <c r="J46" s="73"/>
      <c r="K46" s="73"/>
      <c r="L46" s="79">
        <f>L43+L44+L45</f>
        <v>72458350</v>
      </c>
    </row>
  </sheetData>
  <mergeCells count="1">
    <mergeCell ref="A2:L2"/>
  </mergeCells>
  <phoneticPr fontId="0" type="noConversion"/>
  <pageMargins left="0.9055118110236221" right="0.31496062992125984" top="0.35433070866141736" bottom="0.51181102362204722" header="0.39370078740157483" footer="0.31496062992125984"/>
  <pageSetup paperSize="9" scale="67" orientation="landscape" r:id="rId1"/>
  <headerFooter alignWithMargins="0">
    <oddFooter>&amp;R&amp;P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20F6-2760-47E7-AA5F-8EECB9CB6080}">
  <dimension ref="A2:J43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11.85546875" style="570" customWidth="1"/>
    <col min="2" max="2" width="82.28515625" style="558" customWidth="1"/>
    <col min="3" max="6" width="15.7109375" style="558" customWidth="1"/>
    <col min="7" max="7" width="11.42578125" style="561" customWidth="1"/>
    <col min="8" max="8" width="10.140625" style="558" bestFit="1" customWidth="1"/>
    <col min="9" max="16384" width="9.140625" style="558"/>
  </cols>
  <sheetData>
    <row r="2" spans="1:10" ht="15.75" x14ac:dyDescent="0.25">
      <c r="A2" s="679" t="s">
        <v>815</v>
      </c>
      <c r="B2" s="680"/>
      <c r="C2" s="680"/>
      <c r="D2" s="680"/>
      <c r="E2" s="680"/>
      <c r="F2" s="680"/>
      <c r="G2" s="680"/>
    </row>
    <row r="4" spans="1:10" s="561" customFormat="1" ht="52.5" customHeight="1" x14ac:dyDescent="0.2">
      <c r="A4" s="559" t="s">
        <v>568</v>
      </c>
      <c r="B4" s="560" t="s">
        <v>569</v>
      </c>
      <c r="C4" s="559" t="s">
        <v>772</v>
      </c>
      <c r="D4" s="559" t="s">
        <v>773</v>
      </c>
      <c r="E4" s="559" t="s">
        <v>774</v>
      </c>
      <c r="F4" s="559" t="s">
        <v>775</v>
      </c>
      <c r="G4" s="559" t="s">
        <v>291</v>
      </c>
    </row>
    <row r="5" spans="1:10" ht="20.100000000000001" customHeight="1" x14ac:dyDescent="0.2">
      <c r="A5" s="562">
        <v>10010001</v>
      </c>
      <c r="B5" s="563" t="s">
        <v>16</v>
      </c>
      <c r="C5" s="564">
        <v>23</v>
      </c>
      <c r="D5" s="564">
        <v>0</v>
      </c>
      <c r="E5" s="564">
        <v>0</v>
      </c>
      <c r="F5" s="564">
        <v>0</v>
      </c>
      <c r="G5" s="565">
        <f t="shared" ref="G5:G42" si="0">SUM(C5:F5)</f>
        <v>23</v>
      </c>
    </row>
    <row r="6" spans="1:10" ht="20.100000000000001" customHeight="1" x14ac:dyDescent="0.2">
      <c r="A6" s="562">
        <v>11010001</v>
      </c>
      <c r="B6" s="563" t="s">
        <v>19</v>
      </c>
      <c r="C6" s="564">
        <v>7</v>
      </c>
      <c r="D6" s="564">
        <v>0</v>
      </c>
      <c r="E6" s="564">
        <v>0</v>
      </c>
      <c r="F6" s="564">
        <v>0</v>
      </c>
      <c r="G6" s="565">
        <f t="shared" si="0"/>
        <v>7</v>
      </c>
      <c r="J6" s="566"/>
    </row>
    <row r="7" spans="1:10" ht="20.100000000000001" customHeight="1" x14ac:dyDescent="0.2">
      <c r="A7" s="562">
        <v>11010003</v>
      </c>
      <c r="B7" s="563" t="s">
        <v>22</v>
      </c>
      <c r="C7" s="564">
        <v>2</v>
      </c>
      <c r="D7" s="564">
        <v>0</v>
      </c>
      <c r="E7" s="564">
        <v>0</v>
      </c>
      <c r="F7" s="564">
        <v>0</v>
      </c>
      <c r="G7" s="565">
        <f t="shared" si="0"/>
        <v>2</v>
      </c>
    </row>
    <row r="8" spans="1:10" ht="20.100000000000001" customHeight="1" x14ac:dyDescent="0.2">
      <c r="A8" s="562">
        <v>11010004</v>
      </c>
      <c r="B8" s="563" t="s">
        <v>25</v>
      </c>
      <c r="C8" s="564">
        <v>2</v>
      </c>
      <c r="D8" s="564">
        <v>1</v>
      </c>
      <c r="E8" s="564">
        <v>0</v>
      </c>
      <c r="F8" s="564">
        <v>0</v>
      </c>
      <c r="G8" s="565">
        <f t="shared" si="0"/>
        <v>3</v>
      </c>
    </row>
    <row r="9" spans="1:10" ht="20.100000000000001" customHeight="1" x14ac:dyDescent="0.2">
      <c r="A9" s="562">
        <v>11010005</v>
      </c>
      <c r="B9" s="563" t="s">
        <v>830</v>
      </c>
      <c r="C9" s="564">
        <v>7</v>
      </c>
      <c r="D9" s="564">
        <v>1</v>
      </c>
      <c r="E9" s="564">
        <v>0</v>
      </c>
      <c r="F9" s="564">
        <v>0</v>
      </c>
      <c r="G9" s="565">
        <f t="shared" si="0"/>
        <v>8</v>
      </c>
    </row>
    <row r="10" spans="1:10" ht="20.100000000000001" customHeight="1" x14ac:dyDescent="0.2">
      <c r="A10" s="562">
        <v>11010006</v>
      </c>
      <c r="B10" s="563" t="s">
        <v>579</v>
      </c>
      <c r="C10" s="564">
        <v>4</v>
      </c>
      <c r="D10" s="564">
        <v>0</v>
      </c>
      <c r="E10" s="564">
        <v>0</v>
      </c>
      <c r="F10" s="564">
        <v>0</v>
      </c>
      <c r="G10" s="565">
        <f t="shared" si="0"/>
        <v>4</v>
      </c>
    </row>
    <row r="11" spans="1:10" ht="20.100000000000001" customHeight="1" x14ac:dyDescent="0.2">
      <c r="A11" s="562">
        <v>11010007</v>
      </c>
      <c r="B11" s="563" t="s">
        <v>829</v>
      </c>
      <c r="C11" s="564">
        <v>2</v>
      </c>
      <c r="D11" s="564">
        <v>0</v>
      </c>
      <c r="E11" s="564">
        <v>0</v>
      </c>
      <c r="F11" s="564">
        <v>0</v>
      </c>
      <c r="G11" s="565">
        <f t="shared" ref="G11" si="1">SUM(C11:F11)</f>
        <v>2</v>
      </c>
    </row>
    <row r="12" spans="1:10" ht="20.100000000000001" customHeight="1" x14ac:dyDescent="0.2">
      <c r="A12" s="562">
        <v>12010001</v>
      </c>
      <c r="B12" s="563" t="s">
        <v>33</v>
      </c>
      <c r="C12" s="564">
        <v>22</v>
      </c>
      <c r="D12" s="564">
        <v>0</v>
      </c>
      <c r="E12" s="564">
        <v>0</v>
      </c>
      <c r="F12" s="564">
        <v>0</v>
      </c>
      <c r="G12" s="565">
        <f t="shared" si="0"/>
        <v>22</v>
      </c>
    </row>
    <row r="13" spans="1:10" ht="20.100000000000001" customHeight="1" x14ac:dyDescent="0.2">
      <c r="A13" s="562">
        <v>13010001</v>
      </c>
      <c r="B13" s="563" t="s">
        <v>36</v>
      </c>
      <c r="C13" s="564">
        <v>210</v>
      </c>
      <c r="D13" s="564">
        <v>2</v>
      </c>
      <c r="E13" s="564">
        <v>0</v>
      </c>
      <c r="F13" s="564">
        <v>0</v>
      </c>
      <c r="G13" s="565">
        <f t="shared" si="0"/>
        <v>212</v>
      </c>
    </row>
    <row r="14" spans="1:10" ht="20.100000000000001" customHeight="1" x14ac:dyDescent="0.2">
      <c r="A14" s="562">
        <v>14010001</v>
      </c>
      <c r="B14" s="563" t="s">
        <v>39</v>
      </c>
      <c r="C14" s="564">
        <v>7</v>
      </c>
      <c r="D14" s="564">
        <v>0</v>
      </c>
      <c r="E14" s="564">
        <v>0</v>
      </c>
      <c r="F14" s="564">
        <v>0</v>
      </c>
      <c r="G14" s="565">
        <f t="shared" si="0"/>
        <v>7</v>
      </c>
    </row>
    <row r="15" spans="1:10" ht="20.100000000000001" customHeight="1" x14ac:dyDescent="0.2">
      <c r="A15" s="562">
        <v>14020003</v>
      </c>
      <c r="B15" s="563" t="s">
        <v>580</v>
      </c>
      <c r="C15" s="564">
        <v>42</v>
      </c>
      <c r="D15" s="564">
        <v>0</v>
      </c>
      <c r="E15" s="564">
        <v>0</v>
      </c>
      <c r="F15" s="564">
        <v>0</v>
      </c>
      <c r="G15" s="565">
        <f t="shared" si="0"/>
        <v>42</v>
      </c>
    </row>
    <row r="16" spans="1:10" ht="20.100000000000001" customHeight="1" x14ac:dyDescent="0.2">
      <c r="A16" s="562">
        <v>14050001</v>
      </c>
      <c r="B16" s="563" t="s">
        <v>581</v>
      </c>
      <c r="C16" s="564">
        <v>1</v>
      </c>
      <c r="D16" s="564">
        <v>0</v>
      </c>
      <c r="E16" s="564">
        <v>0</v>
      </c>
      <c r="F16" s="564">
        <v>0</v>
      </c>
      <c r="G16" s="565">
        <f t="shared" si="0"/>
        <v>1</v>
      </c>
    </row>
    <row r="17" spans="1:10" ht="20.100000000000001" customHeight="1" x14ac:dyDescent="0.2">
      <c r="A17" s="562">
        <v>14050002</v>
      </c>
      <c r="B17" s="563" t="s">
        <v>582</v>
      </c>
      <c r="C17" s="564">
        <v>3</v>
      </c>
      <c r="D17" s="564">
        <v>0</v>
      </c>
      <c r="E17" s="564">
        <v>0</v>
      </c>
      <c r="F17" s="564">
        <v>0</v>
      </c>
      <c r="G17" s="565">
        <f t="shared" si="0"/>
        <v>3</v>
      </c>
    </row>
    <row r="18" spans="1:10" ht="20.100000000000001" customHeight="1" x14ac:dyDescent="0.2">
      <c r="A18" s="562">
        <v>14060001</v>
      </c>
      <c r="B18" s="563" t="s">
        <v>583</v>
      </c>
      <c r="C18" s="564">
        <v>3</v>
      </c>
      <c r="D18" s="564">
        <v>0</v>
      </c>
      <c r="E18" s="564">
        <v>0</v>
      </c>
      <c r="F18" s="564">
        <v>0</v>
      </c>
      <c r="G18" s="565">
        <f t="shared" si="0"/>
        <v>3</v>
      </c>
    </row>
    <row r="19" spans="1:10" ht="20.100000000000001" customHeight="1" x14ac:dyDescent="0.2">
      <c r="A19" s="562">
        <v>14070001</v>
      </c>
      <c r="B19" s="563" t="s">
        <v>584</v>
      </c>
      <c r="C19" s="564">
        <v>2</v>
      </c>
      <c r="D19" s="564">
        <v>0</v>
      </c>
      <c r="E19" s="564">
        <v>0</v>
      </c>
      <c r="F19" s="564">
        <v>0</v>
      </c>
      <c r="G19" s="565">
        <f t="shared" si="0"/>
        <v>2</v>
      </c>
    </row>
    <row r="20" spans="1:10" ht="20.100000000000001" customHeight="1" x14ac:dyDescent="0.2">
      <c r="A20" s="562">
        <v>15010001</v>
      </c>
      <c r="B20" s="563" t="s">
        <v>585</v>
      </c>
      <c r="C20" s="564">
        <v>11</v>
      </c>
      <c r="D20" s="564">
        <v>1</v>
      </c>
      <c r="E20" s="564">
        <v>0</v>
      </c>
      <c r="F20" s="564">
        <v>0</v>
      </c>
      <c r="G20" s="565">
        <f t="shared" si="0"/>
        <v>12</v>
      </c>
    </row>
    <row r="21" spans="1:10" ht="20.100000000000001" customHeight="1" x14ac:dyDescent="0.2">
      <c r="A21" s="562">
        <v>16010001</v>
      </c>
      <c r="B21" s="563" t="s">
        <v>51</v>
      </c>
      <c r="C21" s="564">
        <v>17</v>
      </c>
      <c r="D21" s="564">
        <v>1</v>
      </c>
      <c r="E21" s="564">
        <v>0</v>
      </c>
      <c r="F21" s="564">
        <v>0</v>
      </c>
      <c r="G21" s="565">
        <f t="shared" si="0"/>
        <v>18</v>
      </c>
      <c r="J21" s="566"/>
    </row>
    <row r="22" spans="1:10" ht="20.100000000000001" customHeight="1" x14ac:dyDescent="0.2">
      <c r="A22" s="562">
        <v>17010001</v>
      </c>
      <c r="B22" s="563" t="s">
        <v>52</v>
      </c>
      <c r="C22" s="564">
        <v>11</v>
      </c>
      <c r="D22" s="564">
        <v>2</v>
      </c>
      <c r="E22" s="564">
        <v>0</v>
      </c>
      <c r="F22" s="564">
        <v>0</v>
      </c>
      <c r="G22" s="565">
        <f t="shared" si="0"/>
        <v>13</v>
      </c>
    </row>
    <row r="23" spans="1:10" ht="20.100000000000001" customHeight="1" x14ac:dyDescent="0.2">
      <c r="A23" s="562">
        <v>18010001</v>
      </c>
      <c r="B23" s="563" t="s">
        <v>53</v>
      </c>
      <c r="C23" s="564">
        <v>13</v>
      </c>
      <c r="D23" s="564">
        <v>0</v>
      </c>
      <c r="E23" s="564">
        <v>0</v>
      </c>
      <c r="F23" s="564">
        <v>0</v>
      </c>
      <c r="G23" s="565">
        <f t="shared" si="0"/>
        <v>13</v>
      </c>
    </row>
    <row r="24" spans="1:10" ht="20.100000000000001" customHeight="1" x14ac:dyDescent="0.2">
      <c r="A24" s="562">
        <v>19010001</v>
      </c>
      <c r="B24" s="563" t="s">
        <v>586</v>
      </c>
      <c r="C24" s="564">
        <v>31</v>
      </c>
      <c r="D24" s="564">
        <v>1</v>
      </c>
      <c r="E24" s="564">
        <v>0</v>
      </c>
      <c r="F24" s="564">
        <v>0</v>
      </c>
      <c r="G24" s="565">
        <f t="shared" si="0"/>
        <v>32</v>
      </c>
    </row>
    <row r="25" spans="1:10" ht="20.100000000000001" customHeight="1" x14ac:dyDescent="0.2">
      <c r="A25" s="562">
        <v>20010001</v>
      </c>
      <c r="B25" s="563" t="s">
        <v>55</v>
      </c>
      <c r="C25" s="564">
        <v>13</v>
      </c>
      <c r="D25" s="564">
        <v>1</v>
      </c>
      <c r="E25" s="564">
        <v>0</v>
      </c>
      <c r="F25" s="564">
        <v>0</v>
      </c>
      <c r="G25" s="565">
        <f t="shared" si="0"/>
        <v>14</v>
      </c>
    </row>
    <row r="26" spans="1:10" ht="20.100000000000001" customHeight="1" x14ac:dyDescent="0.2">
      <c r="A26" s="562">
        <v>20020002</v>
      </c>
      <c r="B26" s="563" t="s">
        <v>587</v>
      </c>
      <c r="C26" s="564">
        <v>43</v>
      </c>
      <c r="D26" s="564">
        <v>0</v>
      </c>
      <c r="E26" s="564">
        <v>0</v>
      </c>
      <c r="F26" s="69">
        <v>1</v>
      </c>
      <c r="G26" s="565">
        <f t="shared" si="0"/>
        <v>44</v>
      </c>
    </row>
    <row r="27" spans="1:10" ht="20.100000000000001" customHeight="1" x14ac:dyDescent="0.2">
      <c r="A27" s="562">
        <v>20020003</v>
      </c>
      <c r="B27" s="563" t="s">
        <v>588</v>
      </c>
      <c r="C27" s="564">
        <v>44</v>
      </c>
      <c r="D27" s="564">
        <v>0</v>
      </c>
      <c r="E27" s="564">
        <v>0</v>
      </c>
      <c r="F27" s="69">
        <v>0</v>
      </c>
      <c r="G27" s="565">
        <f t="shared" si="0"/>
        <v>44</v>
      </c>
    </row>
    <row r="28" spans="1:10" ht="20.100000000000001" customHeight="1" x14ac:dyDescent="0.2">
      <c r="A28" s="562">
        <v>20020004</v>
      </c>
      <c r="B28" s="563" t="s">
        <v>589</v>
      </c>
      <c r="C28" s="564">
        <v>40</v>
      </c>
      <c r="D28" s="564">
        <v>0</v>
      </c>
      <c r="E28" s="564">
        <v>0</v>
      </c>
      <c r="F28" s="69">
        <v>8</v>
      </c>
      <c r="G28" s="565">
        <f t="shared" si="0"/>
        <v>48</v>
      </c>
    </row>
    <row r="29" spans="1:10" ht="20.100000000000001" customHeight="1" x14ac:dyDescent="0.2">
      <c r="A29" s="562">
        <v>20030001</v>
      </c>
      <c r="B29" s="563" t="s">
        <v>590</v>
      </c>
      <c r="C29" s="564">
        <v>59</v>
      </c>
      <c r="D29" s="564">
        <v>0</v>
      </c>
      <c r="E29" s="564">
        <v>0</v>
      </c>
      <c r="F29" s="69">
        <v>4</v>
      </c>
      <c r="G29" s="565">
        <f t="shared" si="0"/>
        <v>63</v>
      </c>
    </row>
    <row r="30" spans="1:10" ht="20.100000000000001" customHeight="1" x14ac:dyDescent="0.2">
      <c r="A30" s="562">
        <v>20030002</v>
      </c>
      <c r="B30" s="563" t="s">
        <v>591</v>
      </c>
      <c r="C30" s="564">
        <v>108</v>
      </c>
      <c r="D30" s="564">
        <v>0</v>
      </c>
      <c r="E30" s="564">
        <v>0</v>
      </c>
      <c r="F30" s="69">
        <v>2</v>
      </c>
      <c r="G30" s="565">
        <f t="shared" si="0"/>
        <v>110</v>
      </c>
    </row>
    <row r="31" spans="1:10" ht="20.100000000000001" customHeight="1" x14ac:dyDescent="0.2">
      <c r="A31" s="562">
        <v>20030003</v>
      </c>
      <c r="B31" s="563" t="s">
        <v>592</v>
      </c>
      <c r="C31" s="564">
        <v>28</v>
      </c>
      <c r="D31" s="564">
        <v>0</v>
      </c>
      <c r="E31" s="564">
        <v>1</v>
      </c>
      <c r="F31" s="69">
        <v>0</v>
      </c>
      <c r="G31" s="565">
        <f t="shared" si="0"/>
        <v>29</v>
      </c>
    </row>
    <row r="32" spans="1:10" ht="20.100000000000001" customHeight="1" x14ac:dyDescent="0.2">
      <c r="A32" s="562">
        <v>20030004</v>
      </c>
      <c r="B32" s="563" t="s">
        <v>593</v>
      </c>
      <c r="C32" s="564">
        <v>34</v>
      </c>
      <c r="D32" s="564">
        <v>0</v>
      </c>
      <c r="E32" s="564">
        <v>3</v>
      </c>
      <c r="F32" s="69">
        <v>0</v>
      </c>
      <c r="G32" s="565">
        <f t="shared" si="0"/>
        <v>37</v>
      </c>
    </row>
    <row r="33" spans="1:7" ht="20.100000000000001" customHeight="1" x14ac:dyDescent="0.2">
      <c r="A33" s="562">
        <v>20030005</v>
      </c>
      <c r="B33" s="563" t="s">
        <v>594</v>
      </c>
      <c r="C33" s="564">
        <v>39</v>
      </c>
      <c r="D33" s="564">
        <v>0</v>
      </c>
      <c r="E33" s="564">
        <v>2</v>
      </c>
      <c r="F33" s="69">
        <v>1</v>
      </c>
      <c r="G33" s="565">
        <f t="shared" si="0"/>
        <v>42</v>
      </c>
    </row>
    <row r="34" spans="1:7" ht="20.100000000000001" customHeight="1" x14ac:dyDescent="0.2">
      <c r="A34" s="562">
        <v>20030006</v>
      </c>
      <c r="B34" s="563" t="s">
        <v>595</v>
      </c>
      <c r="C34" s="564">
        <v>16</v>
      </c>
      <c r="D34" s="564">
        <v>0</v>
      </c>
      <c r="E34" s="564">
        <v>3</v>
      </c>
      <c r="F34" s="69">
        <v>1</v>
      </c>
      <c r="G34" s="565">
        <f t="shared" si="0"/>
        <v>20</v>
      </c>
    </row>
    <row r="35" spans="1:7" ht="20.100000000000001" customHeight="1" x14ac:dyDescent="0.2">
      <c r="A35" s="562">
        <v>20030007</v>
      </c>
      <c r="B35" s="563" t="s">
        <v>596</v>
      </c>
      <c r="C35" s="564">
        <v>28</v>
      </c>
      <c r="D35" s="564">
        <v>0</v>
      </c>
      <c r="E35" s="564">
        <v>2</v>
      </c>
      <c r="F35" s="69">
        <v>0</v>
      </c>
      <c r="G35" s="565">
        <f t="shared" si="0"/>
        <v>30</v>
      </c>
    </row>
    <row r="36" spans="1:7" ht="20.100000000000001" customHeight="1" x14ac:dyDescent="0.2">
      <c r="A36" s="562">
        <v>21010001</v>
      </c>
      <c r="B36" s="563" t="s">
        <v>21</v>
      </c>
      <c r="C36" s="564">
        <v>13</v>
      </c>
      <c r="D36" s="564">
        <v>1</v>
      </c>
      <c r="E36" s="564">
        <v>0</v>
      </c>
      <c r="F36" s="69">
        <v>0</v>
      </c>
      <c r="G36" s="565">
        <f t="shared" si="0"/>
        <v>14</v>
      </c>
    </row>
    <row r="37" spans="1:7" ht="20.100000000000001" customHeight="1" x14ac:dyDescent="0.2">
      <c r="A37" s="562">
        <v>22010001</v>
      </c>
      <c r="B37" s="563" t="s">
        <v>24</v>
      </c>
      <c r="C37" s="564">
        <v>3</v>
      </c>
      <c r="D37" s="564">
        <v>0</v>
      </c>
      <c r="E37" s="564">
        <v>0</v>
      </c>
      <c r="F37" s="69">
        <v>0</v>
      </c>
      <c r="G37" s="565">
        <f t="shared" si="0"/>
        <v>3</v>
      </c>
    </row>
    <row r="38" spans="1:7" ht="20.100000000000001" customHeight="1" x14ac:dyDescent="0.2">
      <c r="A38" s="562">
        <v>23010001</v>
      </c>
      <c r="B38" s="563" t="s">
        <v>27</v>
      </c>
      <c r="C38" s="564">
        <v>38</v>
      </c>
      <c r="D38" s="564">
        <v>0</v>
      </c>
      <c r="E38" s="564">
        <v>0</v>
      </c>
      <c r="F38" s="564">
        <v>0</v>
      </c>
      <c r="G38" s="565">
        <f t="shared" si="0"/>
        <v>38</v>
      </c>
    </row>
    <row r="39" spans="1:7" ht="20.100000000000001" customHeight="1" x14ac:dyDescent="0.2">
      <c r="A39" s="562">
        <v>24010001</v>
      </c>
      <c r="B39" s="563" t="s">
        <v>29</v>
      </c>
      <c r="C39" s="564">
        <v>16</v>
      </c>
      <c r="D39" s="564">
        <v>0</v>
      </c>
      <c r="E39" s="564">
        <v>0</v>
      </c>
      <c r="F39" s="564">
        <v>0</v>
      </c>
      <c r="G39" s="565">
        <f t="shared" si="0"/>
        <v>16</v>
      </c>
    </row>
    <row r="40" spans="1:7" ht="20.100000000000001" customHeight="1" x14ac:dyDescent="0.2">
      <c r="A40" s="562">
        <v>26010001</v>
      </c>
      <c r="B40" s="563" t="s">
        <v>32</v>
      </c>
      <c r="C40" s="564">
        <v>3</v>
      </c>
      <c r="D40" s="564">
        <v>0</v>
      </c>
      <c r="E40" s="564">
        <v>0</v>
      </c>
      <c r="F40" s="564">
        <v>0</v>
      </c>
      <c r="G40" s="565">
        <f t="shared" si="0"/>
        <v>3</v>
      </c>
    </row>
    <row r="41" spans="1:7" ht="20.100000000000001" customHeight="1" x14ac:dyDescent="0.2">
      <c r="A41" s="562">
        <v>27010001</v>
      </c>
      <c r="B41" s="563" t="s">
        <v>35</v>
      </c>
      <c r="C41" s="564">
        <v>13</v>
      </c>
      <c r="D41" s="564">
        <v>1</v>
      </c>
      <c r="E41" s="564">
        <v>0</v>
      </c>
      <c r="F41" s="564">
        <v>0</v>
      </c>
      <c r="G41" s="565">
        <f t="shared" si="0"/>
        <v>14</v>
      </c>
    </row>
    <row r="42" spans="1:7" ht="20.100000000000001" customHeight="1" x14ac:dyDescent="0.2">
      <c r="A42" s="562">
        <v>28010001</v>
      </c>
      <c r="B42" s="563" t="s">
        <v>38</v>
      </c>
      <c r="C42" s="564">
        <v>13</v>
      </c>
      <c r="D42" s="564">
        <v>0</v>
      </c>
      <c r="E42" s="564">
        <v>0</v>
      </c>
      <c r="F42" s="564">
        <v>0</v>
      </c>
      <c r="G42" s="565">
        <f t="shared" si="0"/>
        <v>13</v>
      </c>
    </row>
    <row r="43" spans="1:7" s="561" customFormat="1" ht="20.100000000000001" customHeight="1" x14ac:dyDescent="0.2">
      <c r="A43" s="567"/>
      <c r="B43" s="568" t="s">
        <v>597</v>
      </c>
      <c r="C43" s="569">
        <f>SUM(C5:C42)</f>
        <v>971</v>
      </c>
      <c r="D43" s="569">
        <f t="shared" ref="D43:F43" si="2">SUM(D5:D42)</f>
        <v>12</v>
      </c>
      <c r="E43" s="569">
        <f t="shared" si="2"/>
        <v>11</v>
      </c>
      <c r="F43" s="569">
        <f t="shared" si="2"/>
        <v>17</v>
      </c>
      <c r="G43" s="569">
        <f>SUM(G5:G42)</f>
        <v>1011</v>
      </c>
    </row>
  </sheetData>
  <mergeCells count="1">
    <mergeCell ref="A2:G2"/>
  </mergeCells>
  <pageMargins left="0.59055118110236227" right="0.31496062992125984" top="0.55118110236220474" bottom="0.51181102362204722" header="0.51181102362204722" footer="0.31496062992125984"/>
  <pageSetup paperSize="9" scale="83" firstPageNumber="3" orientation="landscape" r:id="rId1"/>
  <headerFooter alignWithMargins="0">
    <oddFooter>&amp;R&amp;P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2:J119"/>
  <sheetViews>
    <sheetView zoomScaleNormal="100" zoomScaleSheetLayoutView="100" workbookViewId="0">
      <selection activeCell="F26" sqref="F26"/>
    </sheetView>
  </sheetViews>
  <sheetFormatPr defaultRowHeight="12.75" x14ac:dyDescent="0.2"/>
  <cols>
    <col min="1" max="1" width="6.140625" customWidth="1"/>
    <col min="2" max="2" width="6.85546875" customWidth="1"/>
    <col min="3" max="3" width="11.5703125" customWidth="1"/>
    <col min="4" max="4" width="72.7109375" customWidth="1"/>
    <col min="5" max="5" width="20.140625" customWidth="1"/>
    <col min="6" max="6" width="17.7109375" customWidth="1"/>
    <col min="7" max="7" width="8.85546875" customWidth="1"/>
    <col min="9" max="10" width="10.140625" bestFit="1" customWidth="1"/>
  </cols>
  <sheetData>
    <row r="2" spans="2:10" ht="15" x14ac:dyDescent="0.25">
      <c r="B2" s="681" t="s">
        <v>816</v>
      </c>
      <c r="C2" s="599"/>
      <c r="D2" s="599"/>
      <c r="E2" s="599"/>
      <c r="F2" s="599"/>
      <c r="G2" s="599"/>
    </row>
    <row r="3" spans="2:10" ht="15" x14ac:dyDescent="0.25">
      <c r="B3" s="81"/>
      <c r="C3" s="82"/>
      <c r="D3" s="82"/>
      <c r="E3" s="82"/>
      <c r="F3" s="82"/>
    </row>
    <row r="4" spans="2:10" x14ac:dyDescent="0.2">
      <c r="B4" s="83"/>
      <c r="C4" s="83"/>
      <c r="D4" s="84"/>
      <c r="E4" s="85"/>
      <c r="F4" s="85"/>
    </row>
    <row r="5" spans="2:10" ht="66" customHeight="1" x14ac:dyDescent="0.2">
      <c r="B5" s="86" t="s">
        <v>3</v>
      </c>
      <c r="C5" s="87" t="s">
        <v>600</v>
      </c>
      <c r="D5" s="87" t="s">
        <v>601</v>
      </c>
      <c r="E5" s="86" t="s">
        <v>905</v>
      </c>
      <c r="F5" s="86" t="s">
        <v>817</v>
      </c>
      <c r="G5" s="86" t="s">
        <v>65</v>
      </c>
    </row>
    <row r="6" spans="2:10" x14ac:dyDescent="0.2">
      <c r="B6" s="88"/>
      <c r="C6" s="89">
        <v>1</v>
      </c>
      <c r="D6" s="89">
        <v>2</v>
      </c>
      <c r="E6" s="90">
        <v>3</v>
      </c>
      <c r="F6" s="90">
        <v>4</v>
      </c>
      <c r="G6" s="112" t="s">
        <v>602</v>
      </c>
    </row>
    <row r="7" spans="2:10" x14ac:dyDescent="0.2">
      <c r="B7" s="238">
        <v>1</v>
      </c>
      <c r="C7" s="239"/>
      <c r="D7" s="239" t="s">
        <v>603</v>
      </c>
      <c r="E7" s="240">
        <f>E8+E17+E23+E30+E40+E47+E54+E61+E68+E77</f>
        <v>71459800</v>
      </c>
      <c r="F7" s="240">
        <f>F8+F17+F23+F30+F40+F47+F54+F61+F68+F77</f>
        <v>71878350</v>
      </c>
      <c r="G7" s="241">
        <f>IF(E7=0,"",F7/E7*100)</f>
        <v>100.58571392587162</v>
      </c>
      <c r="I7" s="49"/>
      <c r="J7" s="49"/>
    </row>
    <row r="8" spans="2:10" x14ac:dyDescent="0.2">
      <c r="B8" s="238">
        <v>2</v>
      </c>
      <c r="C8" s="242" t="s">
        <v>451</v>
      </c>
      <c r="D8" s="243" t="s">
        <v>604</v>
      </c>
      <c r="E8" s="240">
        <f>SUM(E9:E16)</f>
        <v>8784000</v>
      </c>
      <c r="F8" s="240">
        <f>SUM(F9:F16)</f>
        <v>8778780</v>
      </c>
      <c r="G8" s="244">
        <f>IF(E8=0,"",F8/E8*100)</f>
        <v>99.94057377049181</v>
      </c>
      <c r="I8" s="49"/>
      <c r="J8" s="49"/>
    </row>
    <row r="9" spans="2:10" ht="14.1" customHeight="1" x14ac:dyDescent="0.2">
      <c r="B9" s="88">
        <v>3</v>
      </c>
      <c r="C9" s="91" t="s">
        <v>605</v>
      </c>
      <c r="D9" s="92" t="s">
        <v>606</v>
      </c>
      <c r="E9" s="68">
        <f>'1'!J32+'2'!J52-'2'!J8+'3'!J31+'4'!J31+'5'!J31+'6'!J34+'17'!J48-'17'!J8+'7N'!J31</f>
        <v>7623270</v>
      </c>
      <c r="F9" s="68">
        <f>'1'!M32+'2'!M52-'2'!M8+'3'!M31+'4'!M31+'5'!M31+'6'!M34+'17'!M48-'17'!M8+'7N'!M31</f>
        <v>7475870</v>
      </c>
      <c r="G9" s="93">
        <f>IF(E9=0,"",F9/E9*100)</f>
        <v>98.066446551151927</v>
      </c>
      <c r="I9" s="49"/>
      <c r="J9" s="49"/>
    </row>
    <row r="10" spans="2:10" ht="14.1" customHeight="1" x14ac:dyDescent="0.2">
      <c r="B10" s="88">
        <v>4</v>
      </c>
      <c r="C10" s="91" t="s">
        <v>607</v>
      </c>
      <c r="D10" s="92" t="s">
        <v>608</v>
      </c>
      <c r="E10" s="68">
        <v>0</v>
      </c>
      <c r="F10" s="68">
        <v>0</v>
      </c>
      <c r="G10" s="93" t="str">
        <f t="shared" ref="G10:G73" si="0">IF(E10=0,"",F10/E10*100)</f>
        <v/>
      </c>
      <c r="I10" s="49"/>
    </row>
    <row r="11" spans="2:10" ht="14.1" customHeight="1" x14ac:dyDescent="0.2">
      <c r="B11" s="88">
        <v>5</v>
      </c>
      <c r="C11" s="91" t="s">
        <v>609</v>
      </c>
      <c r="D11" s="92" t="s">
        <v>610</v>
      </c>
      <c r="E11" s="68">
        <f>'8'!J31+'15'!J31</f>
        <v>1160730</v>
      </c>
      <c r="F11" s="68">
        <f>'8'!M31+'15'!M31</f>
        <v>1302910</v>
      </c>
      <c r="G11" s="93">
        <f t="shared" si="0"/>
        <v>112.24918801099308</v>
      </c>
    </row>
    <row r="12" spans="2:10" ht="14.1" customHeight="1" x14ac:dyDescent="0.2">
      <c r="B12" s="88">
        <v>6</v>
      </c>
      <c r="C12" s="91" t="s">
        <v>611</v>
      </c>
      <c r="D12" s="92" t="s">
        <v>612</v>
      </c>
      <c r="E12" s="68">
        <v>0</v>
      </c>
      <c r="F12" s="68">
        <v>0</v>
      </c>
      <c r="G12" s="93" t="str">
        <f t="shared" si="0"/>
        <v/>
      </c>
    </row>
    <row r="13" spans="2:10" ht="14.1" customHeight="1" x14ac:dyDescent="0.2">
      <c r="B13" s="88">
        <v>7</v>
      </c>
      <c r="C13" s="91" t="s">
        <v>613</v>
      </c>
      <c r="D13" s="92" t="s">
        <v>614</v>
      </c>
      <c r="E13" s="68">
        <v>0</v>
      </c>
      <c r="F13" s="68">
        <v>0</v>
      </c>
      <c r="G13" s="93" t="str">
        <f t="shared" si="0"/>
        <v/>
      </c>
    </row>
    <row r="14" spans="2:10" ht="14.1" customHeight="1" x14ac:dyDescent="0.2">
      <c r="B14" s="88">
        <v>8</v>
      </c>
      <c r="C14" s="91" t="s">
        <v>615</v>
      </c>
      <c r="D14" s="92" t="s">
        <v>616</v>
      </c>
      <c r="E14" s="68">
        <v>0</v>
      </c>
      <c r="F14" s="68">
        <v>0</v>
      </c>
      <c r="G14" s="93" t="str">
        <f t="shared" si="0"/>
        <v/>
      </c>
    </row>
    <row r="15" spans="2:10" ht="14.1" customHeight="1" x14ac:dyDescent="0.2">
      <c r="B15" s="88">
        <v>9</v>
      </c>
      <c r="C15" s="91" t="s">
        <v>617</v>
      </c>
      <c r="D15" s="92" t="s">
        <v>618</v>
      </c>
      <c r="E15" s="68">
        <v>0</v>
      </c>
      <c r="F15" s="68">
        <v>0</v>
      </c>
      <c r="G15" s="93" t="str">
        <f t="shared" si="0"/>
        <v/>
      </c>
    </row>
    <row r="16" spans="2:10" ht="14.1" customHeight="1" x14ac:dyDescent="0.2">
      <c r="B16" s="88">
        <v>10</v>
      </c>
      <c r="C16" s="91" t="s">
        <v>619</v>
      </c>
      <c r="D16" s="92" t="s">
        <v>620</v>
      </c>
      <c r="E16" s="68">
        <v>0</v>
      </c>
      <c r="F16" s="68">
        <v>0</v>
      </c>
      <c r="G16" s="93" t="str">
        <f t="shared" si="0"/>
        <v/>
      </c>
    </row>
    <row r="17" spans="2:7" ht="14.1" customHeight="1" x14ac:dyDescent="0.2">
      <c r="B17" s="238">
        <v>11</v>
      </c>
      <c r="C17" s="242" t="s">
        <v>484</v>
      </c>
      <c r="D17" s="243" t="s">
        <v>621</v>
      </c>
      <c r="E17" s="240">
        <f>SUM(E18:E22)</f>
        <v>0</v>
      </c>
      <c r="F17" s="240">
        <f>SUM(F18:F22)</f>
        <v>0</v>
      </c>
      <c r="G17" s="244" t="str">
        <f t="shared" si="0"/>
        <v/>
      </c>
    </row>
    <row r="18" spans="2:7" ht="14.1" customHeight="1" x14ac:dyDescent="0.2">
      <c r="B18" s="88">
        <v>12</v>
      </c>
      <c r="C18" s="91" t="s">
        <v>622</v>
      </c>
      <c r="D18" s="92" t="s">
        <v>623</v>
      </c>
      <c r="E18" s="68">
        <v>0</v>
      </c>
      <c r="F18" s="68">
        <v>0</v>
      </c>
      <c r="G18" s="93" t="str">
        <f t="shared" si="0"/>
        <v/>
      </c>
    </row>
    <row r="19" spans="2:7" ht="14.1" customHeight="1" x14ac:dyDescent="0.2">
      <c r="B19" s="88">
        <v>13</v>
      </c>
      <c r="C19" s="91" t="s">
        <v>624</v>
      </c>
      <c r="D19" s="92" t="s">
        <v>625</v>
      </c>
      <c r="E19" s="68">
        <v>0</v>
      </c>
      <c r="F19" s="68">
        <v>0</v>
      </c>
      <c r="G19" s="93" t="str">
        <f t="shared" si="0"/>
        <v/>
      </c>
    </row>
    <row r="20" spans="2:7" ht="14.1" customHeight="1" x14ac:dyDescent="0.2">
      <c r="B20" s="88">
        <v>14</v>
      </c>
      <c r="C20" s="91" t="s">
        <v>626</v>
      </c>
      <c r="D20" s="92" t="s">
        <v>627</v>
      </c>
      <c r="E20" s="68">
        <v>0</v>
      </c>
      <c r="F20" s="68">
        <v>0</v>
      </c>
      <c r="G20" s="93" t="str">
        <f t="shared" si="0"/>
        <v/>
      </c>
    </row>
    <row r="21" spans="2:7" ht="14.1" customHeight="1" x14ac:dyDescent="0.2">
      <c r="B21" s="88">
        <v>15</v>
      </c>
      <c r="C21" s="91" t="s">
        <v>628</v>
      </c>
      <c r="D21" s="92" t="s">
        <v>629</v>
      </c>
      <c r="E21" s="68">
        <v>0</v>
      </c>
      <c r="F21" s="68">
        <v>0</v>
      </c>
      <c r="G21" s="93" t="str">
        <f t="shared" si="0"/>
        <v/>
      </c>
    </row>
    <row r="22" spans="2:7" ht="14.1" customHeight="1" x14ac:dyDescent="0.2">
      <c r="B22" s="88">
        <v>16</v>
      </c>
      <c r="C22" s="91" t="s">
        <v>630</v>
      </c>
      <c r="D22" s="92" t="s">
        <v>631</v>
      </c>
      <c r="E22" s="68">
        <v>0</v>
      </c>
      <c r="F22" s="68">
        <v>0</v>
      </c>
      <c r="G22" s="93" t="str">
        <f t="shared" si="0"/>
        <v/>
      </c>
    </row>
    <row r="23" spans="2:7" ht="14.1" customHeight="1" x14ac:dyDescent="0.2">
      <c r="B23" s="238">
        <v>17</v>
      </c>
      <c r="C23" s="242" t="s">
        <v>544</v>
      </c>
      <c r="D23" s="243" t="s">
        <v>831</v>
      </c>
      <c r="E23" s="240">
        <f>SUM(E24:E29)</f>
        <v>18213110</v>
      </c>
      <c r="F23" s="240">
        <f>SUM(F24:F29)</f>
        <v>18931350</v>
      </c>
      <c r="G23" s="244">
        <f t="shared" si="0"/>
        <v>103.94353298256036</v>
      </c>
    </row>
    <row r="24" spans="2:7" ht="14.1" customHeight="1" x14ac:dyDescent="0.2">
      <c r="B24" s="88">
        <v>18</v>
      </c>
      <c r="C24" s="91" t="s">
        <v>632</v>
      </c>
      <c r="D24" s="92" t="s">
        <v>633</v>
      </c>
      <c r="E24" s="68">
        <f>'9'!J33</f>
        <v>10927710</v>
      </c>
      <c r="F24" s="68">
        <f>'9'!M33</f>
        <v>11389140</v>
      </c>
      <c r="G24" s="93">
        <f t="shared" si="0"/>
        <v>104.22256813184099</v>
      </c>
    </row>
    <row r="25" spans="2:7" ht="14.1" customHeight="1" x14ac:dyDescent="0.2">
      <c r="B25" s="88">
        <v>19</v>
      </c>
      <c r="C25" s="91" t="s">
        <v>634</v>
      </c>
      <c r="D25" s="92" t="s">
        <v>635</v>
      </c>
      <c r="E25" s="68">
        <f>'34'!J36</f>
        <v>2305030</v>
      </c>
      <c r="F25" s="68">
        <f>'34'!M36</f>
        <v>2178320</v>
      </c>
      <c r="G25" s="93">
        <f t="shared" si="0"/>
        <v>94.502891502496709</v>
      </c>
    </row>
    <row r="26" spans="2:7" ht="14.1" customHeight="1" x14ac:dyDescent="0.2">
      <c r="B26" s="88">
        <v>20</v>
      </c>
      <c r="C26" s="91" t="s">
        <v>636</v>
      </c>
      <c r="D26" s="92" t="s">
        <v>637</v>
      </c>
      <c r="E26" s="68">
        <f>'11'!J32+'12'!J31+'13'!J31+'14'!J31+'35'!J31+'36'!J31+'37'!J31</f>
        <v>4472720</v>
      </c>
      <c r="F26" s="68">
        <f>'11'!M32+'12'!M31+'13'!M31+'14'!M31+'35'!M31+'36'!M31+'37'!M31</f>
        <v>4855290</v>
      </c>
      <c r="G26" s="93">
        <f t="shared" si="0"/>
        <v>108.55340821692391</v>
      </c>
    </row>
    <row r="27" spans="2:7" ht="14.1" customHeight="1" x14ac:dyDescent="0.2">
      <c r="B27" s="88">
        <v>21</v>
      </c>
      <c r="C27" s="91" t="s">
        <v>638</v>
      </c>
      <c r="D27" s="92" t="s">
        <v>639</v>
      </c>
      <c r="E27" s="68">
        <v>0</v>
      </c>
      <c r="F27" s="68">
        <v>0</v>
      </c>
      <c r="G27" s="93" t="str">
        <f t="shared" si="0"/>
        <v/>
      </c>
    </row>
    <row r="28" spans="2:7" ht="14.1" customHeight="1" x14ac:dyDescent="0.2">
      <c r="B28" s="88">
        <v>22</v>
      </c>
      <c r="C28" s="91" t="s">
        <v>640</v>
      </c>
      <c r="D28" s="92" t="s">
        <v>641</v>
      </c>
      <c r="E28" s="68">
        <v>0</v>
      </c>
      <c r="F28" s="68">
        <v>0</v>
      </c>
      <c r="G28" s="93" t="str">
        <f t="shared" si="0"/>
        <v/>
      </c>
    </row>
    <row r="29" spans="2:7" ht="14.1" customHeight="1" x14ac:dyDescent="0.2">
      <c r="B29" s="88">
        <v>23</v>
      </c>
      <c r="C29" s="91" t="s">
        <v>642</v>
      </c>
      <c r="D29" s="92" t="s">
        <v>643</v>
      </c>
      <c r="E29" s="68">
        <f>'10'!J33</f>
        <v>507650</v>
      </c>
      <c r="F29" s="68">
        <f>'10'!M33</f>
        <v>508600</v>
      </c>
      <c r="G29" s="93">
        <f t="shared" si="0"/>
        <v>100.18713680685511</v>
      </c>
    </row>
    <row r="30" spans="2:7" ht="14.1" customHeight="1" x14ac:dyDescent="0.2">
      <c r="B30" s="238">
        <v>24</v>
      </c>
      <c r="C30" s="242" t="s">
        <v>644</v>
      </c>
      <c r="D30" s="243" t="s">
        <v>645</v>
      </c>
      <c r="E30" s="240">
        <f>SUM(E31:E39)</f>
        <v>13490770</v>
      </c>
      <c r="F30" s="240">
        <f>SUM(F31:F39)</f>
        <v>12141110</v>
      </c>
      <c r="G30" s="244">
        <f t="shared" si="0"/>
        <v>89.9956785268743</v>
      </c>
    </row>
    <row r="31" spans="2:7" ht="14.1" customHeight="1" x14ac:dyDescent="0.2">
      <c r="B31" s="88">
        <v>25</v>
      </c>
      <c r="C31" s="91" t="s">
        <v>646</v>
      </c>
      <c r="D31" s="92" t="s">
        <v>647</v>
      </c>
      <c r="E31" s="68">
        <v>0</v>
      </c>
      <c r="F31" s="68">
        <v>0</v>
      </c>
      <c r="G31" s="93" t="str">
        <f t="shared" si="0"/>
        <v/>
      </c>
    </row>
    <row r="32" spans="2:7" ht="14.1" customHeight="1" x14ac:dyDescent="0.2">
      <c r="B32" s="88">
        <v>26</v>
      </c>
      <c r="C32" s="91" t="s">
        <v>648</v>
      </c>
      <c r="D32" s="92" t="s">
        <v>649</v>
      </c>
      <c r="E32" s="68">
        <f>'20'!J41</f>
        <v>4060100</v>
      </c>
      <c r="F32" s="68">
        <f>'20'!M41</f>
        <v>4324140</v>
      </c>
      <c r="G32" s="93">
        <f t="shared" si="0"/>
        <v>106.50328809635229</v>
      </c>
    </row>
    <row r="33" spans="2:7" ht="14.1" customHeight="1" x14ac:dyDescent="0.2">
      <c r="B33" s="88">
        <v>27</v>
      </c>
      <c r="C33" s="91" t="s">
        <v>650</v>
      </c>
      <c r="D33" s="92" t="s">
        <v>651</v>
      </c>
      <c r="E33" s="68">
        <v>0</v>
      </c>
      <c r="F33" s="68">
        <v>0</v>
      </c>
      <c r="G33" s="93" t="str">
        <f t="shared" si="0"/>
        <v/>
      </c>
    </row>
    <row r="34" spans="2:7" ht="14.1" customHeight="1" x14ac:dyDescent="0.2">
      <c r="B34" s="88">
        <v>28</v>
      </c>
      <c r="C34" s="91" t="s">
        <v>652</v>
      </c>
      <c r="D34" s="92" t="s">
        <v>653</v>
      </c>
      <c r="E34" s="68">
        <v>0</v>
      </c>
      <c r="F34" s="68">
        <v>0</v>
      </c>
      <c r="G34" s="93" t="str">
        <f t="shared" si="0"/>
        <v/>
      </c>
    </row>
    <row r="35" spans="2:7" ht="14.1" customHeight="1" x14ac:dyDescent="0.2">
      <c r="B35" s="88">
        <v>29</v>
      </c>
      <c r="C35" s="91" t="s">
        <v>654</v>
      </c>
      <c r="D35" s="92" t="s">
        <v>655</v>
      </c>
      <c r="E35" s="68">
        <v>0</v>
      </c>
      <c r="F35" s="68">
        <v>0</v>
      </c>
      <c r="G35" s="93" t="str">
        <f t="shared" si="0"/>
        <v/>
      </c>
    </row>
    <row r="36" spans="2:7" ht="14.1" customHeight="1" x14ac:dyDescent="0.2">
      <c r="B36" s="88">
        <v>30</v>
      </c>
      <c r="C36" s="91" t="s">
        <v>656</v>
      </c>
      <c r="D36" s="92" t="s">
        <v>657</v>
      </c>
      <c r="E36" s="68">
        <v>0</v>
      </c>
      <c r="F36" s="68">
        <v>0</v>
      </c>
      <c r="G36" s="93" t="str">
        <f t="shared" si="0"/>
        <v/>
      </c>
    </row>
    <row r="37" spans="2:7" ht="14.1" customHeight="1" x14ac:dyDescent="0.2">
      <c r="B37" s="88">
        <v>31</v>
      </c>
      <c r="C37" s="91" t="s">
        <v>658</v>
      </c>
      <c r="D37" s="92" t="s">
        <v>659</v>
      </c>
      <c r="E37" s="68">
        <v>0</v>
      </c>
      <c r="F37" s="68">
        <v>0</v>
      </c>
      <c r="G37" s="93" t="str">
        <f t="shared" si="0"/>
        <v/>
      </c>
    </row>
    <row r="38" spans="2:7" ht="14.1" customHeight="1" x14ac:dyDescent="0.2">
      <c r="B38" s="88">
        <v>32</v>
      </c>
      <c r="C38" s="91" t="s">
        <v>660</v>
      </c>
      <c r="D38" s="92" t="s">
        <v>661</v>
      </c>
      <c r="E38" s="68">
        <v>0</v>
      </c>
      <c r="F38" s="68">
        <v>0</v>
      </c>
      <c r="G38" s="93" t="str">
        <f t="shared" si="0"/>
        <v/>
      </c>
    </row>
    <row r="39" spans="2:7" ht="14.1" customHeight="1" x14ac:dyDescent="0.2">
      <c r="B39" s="88">
        <v>33</v>
      </c>
      <c r="C39" s="91" t="s">
        <v>662</v>
      </c>
      <c r="D39" s="92" t="s">
        <v>663</v>
      </c>
      <c r="E39" s="68">
        <f>'16'!J40+'19'!J37+'33'!J31+'38'!J31</f>
        <v>9430670</v>
      </c>
      <c r="F39" s="68">
        <f>'16'!M40+'19'!M37+'33'!M31+'38'!M31</f>
        <v>7816970</v>
      </c>
      <c r="G39" s="93">
        <f t="shared" si="0"/>
        <v>82.888808536403033</v>
      </c>
    </row>
    <row r="40" spans="2:7" ht="14.1" customHeight="1" x14ac:dyDescent="0.2">
      <c r="B40" s="238">
        <v>34</v>
      </c>
      <c r="C40" s="242" t="s">
        <v>486</v>
      </c>
      <c r="D40" s="243" t="s">
        <v>664</v>
      </c>
      <c r="E40" s="240">
        <f>SUM(E41:E46)</f>
        <v>0</v>
      </c>
      <c r="F40" s="240">
        <f>SUM(F41:F46)</f>
        <v>0</v>
      </c>
      <c r="G40" s="244" t="str">
        <f t="shared" si="0"/>
        <v/>
      </c>
    </row>
    <row r="41" spans="2:7" ht="14.1" customHeight="1" x14ac:dyDescent="0.2">
      <c r="B41" s="88">
        <v>35</v>
      </c>
      <c r="C41" s="91" t="s">
        <v>665</v>
      </c>
      <c r="D41" s="92" t="s">
        <v>666</v>
      </c>
      <c r="E41" s="68">
        <v>0</v>
      </c>
      <c r="F41" s="68">
        <v>0</v>
      </c>
      <c r="G41" s="93" t="str">
        <f t="shared" si="0"/>
        <v/>
      </c>
    </row>
    <row r="42" spans="2:7" ht="14.1" customHeight="1" x14ac:dyDescent="0.2">
      <c r="B42" s="88">
        <v>36</v>
      </c>
      <c r="C42" s="91" t="s">
        <v>667</v>
      </c>
      <c r="D42" s="92" t="s">
        <v>668</v>
      </c>
      <c r="E42" s="68">
        <v>0</v>
      </c>
      <c r="F42" s="68">
        <v>0</v>
      </c>
      <c r="G42" s="93" t="str">
        <f t="shared" si="0"/>
        <v/>
      </c>
    </row>
    <row r="43" spans="2:7" ht="14.1" customHeight="1" x14ac:dyDescent="0.2">
      <c r="B43" s="88">
        <v>37</v>
      </c>
      <c r="C43" s="91" t="s">
        <v>669</v>
      </c>
      <c r="D43" s="92" t="s">
        <v>670</v>
      </c>
      <c r="E43" s="68">
        <v>0</v>
      </c>
      <c r="F43" s="68">
        <v>0</v>
      </c>
      <c r="G43" s="93" t="str">
        <f t="shared" si="0"/>
        <v/>
      </c>
    </row>
    <row r="44" spans="2:7" ht="14.1" customHeight="1" x14ac:dyDescent="0.2">
      <c r="B44" s="88">
        <v>38</v>
      </c>
      <c r="C44" s="91" t="s">
        <v>671</v>
      </c>
      <c r="D44" s="92" t="s">
        <v>672</v>
      </c>
      <c r="E44" s="68">
        <v>0</v>
      </c>
      <c r="F44" s="68">
        <v>0</v>
      </c>
      <c r="G44" s="93" t="str">
        <f t="shared" si="0"/>
        <v/>
      </c>
    </row>
    <row r="45" spans="2:7" ht="14.1" customHeight="1" x14ac:dyDescent="0.2">
      <c r="B45" s="88">
        <v>39</v>
      </c>
      <c r="C45" s="91" t="s">
        <v>673</v>
      </c>
      <c r="D45" s="92" t="s">
        <v>674</v>
      </c>
      <c r="E45" s="68">
        <v>0</v>
      </c>
      <c r="F45" s="68">
        <v>0</v>
      </c>
      <c r="G45" s="93" t="str">
        <f t="shared" si="0"/>
        <v/>
      </c>
    </row>
    <row r="46" spans="2:7" ht="14.1" customHeight="1" x14ac:dyDescent="0.2">
      <c r="B46" s="88">
        <v>40</v>
      </c>
      <c r="C46" s="91" t="s">
        <v>675</v>
      </c>
      <c r="D46" s="92" t="s">
        <v>676</v>
      </c>
      <c r="E46" s="68">
        <v>0</v>
      </c>
      <c r="F46" s="68">
        <v>0</v>
      </c>
      <c r="G46" s="93" t="str">
        <f t="shared" si="0"/>
        <v/>
      </c>
    </row>
    <row r="47" spans="2:7" ht="14.1" customHeight="1" x14ac:dyDescent="0.2">
      <c r="B47" s="238">
        <v>41</v>
      </c>
      <c r="C47" s="242" t="s">
        <v>489</v>
      </c>
      <c r="D47" s="243" t="s">
        <v>677</v>
      </c>
      <c r="E47" s="240">
        <f>SUM(E48:E53)</f>
        <v>0</v>
      </c>
      <c r="F47" s="240">
        <f>SUM(F48:F53)</f>
        <v>0</v>
      </c>
      <c r="G47" s="244" t="str">
        <f t="shared" si="0"/>
        <v/>
      </c>
    </row>
    <row r="48" spans="2:7" ht="14.1" customHeight="1" x14ac:dyDescent="0.2">
      <c r="B48" s="88">
        <v>42</v>
      </c>
      <c r="C48" s="91" t="s">
        <v>678</v>
      </c>
      <c r="D48" s="92" t="s">
        <v>679</v>
      </c>
      <c r="E48" s="68">
        <v>0</v>
      </c>
      <c r="F48" s="68">
        <v>0</v>
      </c>
      <c r="G48" s="93" t="str">
        <f t="shared" si="0"/>
        <v/>
      </c>
    </row>
    <row r="49" spans="2:7" ht="14.1" customHeight="1" x14ac:dyDescent="0.2">
      <c r="B49" s="88">
        <v>43</v>
      </c>
      <c r="C49" s="91" t="s">
        <v>680</v>
      </c>
      <c r="D49" s="92" t="s">
        <v>681</v>
      </c>
      <c r="E49" s="68">
        <v>0</v>
      </c>
      <c r="F49" s="68">
        <v>0</v>
      </c>
      <c r="G49" s="93" t="str">
        <f t="shared" si="0"/>
        <v/>
      </c>
    </row>
    <row r="50" spans="2:7" ht="14.1" customHeight="1" x14ac:dyDescent="0.2">
      <c r="B50" s="88">
        <v>44</v>
      </c>
      <c r="C50" s="91" t="s">
        <v>682</v>
      </c>
      <c r="D50" s="92" t="s">
        <v>683</v>
      </c>
      <c r="E50" s="68">
        <v>0</v>
      </c>
      <c r="F50" s="68">
        <v>0</v>
      </c>
      <c r="G50" s="93" t="str">
        <f t="shared" si="0"/>
        <v/>
      </c>
    </row>
    <row r="51" spans="2:7" ht="14.1" customHeight="1" x14ac:dyDescent="0.2">
      <c r="B51" s="88">
        <v>45</v>
      </c>
      <c r="C51" s="91" t="s">
        <v>684</v>
      </c>
      <c r="D51" s="92" t="s">
        <v>685</v>
      </c>
      <c r="E51" s="68">
        <v>0</v>
      </c>
      <c r="F51" s="68">
        <v>0</v>
      </c>
      <c r="G51" s="93" t="str">
        <f t="shared" si="0"/>
        <v/>
      </c>
    </row>
    <row r="52" spans="2:7" ht="14.1" customHeight="1" x14ac:dyDescent="0.2">
      <c r="B52" s="88">
        <v>46</v>
      </c>
      <c r="C52" s="91" t="s">
        <v>686</v>
      </c>
      <c r="D52" s="92" t="s">
        <v>687</v>
      </c>
      <c r="E52" s="68">
        <v>0</v>
      </c>
      <c r="F52" s="68">
        <v>0</v>
      </c>
      <c r="G52" s="93" t="str">
        <f t="shared" si="0"/>
        <v/>
      </c>
    </row>
    <row r="53" spans="2:7" ht="14.1" customHeight="1" x14ac:dyDescent="0.2">
      <c r="B53" s="88">
        <v>47</v>
      </c>
      <c r="C53" s="91" t="s">
        <v>688</v>
      </c>
      <c r="D53" s="92" t="s">
        <v>689</v>
      </c>
      <c r="E53" s="68">
        <v>0</v>
      </c>
      <c r="F53" s="68">
        <v>0</v>
      </c>
      <c r="G53" s="93" t="str">
        <f t="shared" si="0"/>
        <v/>
      </c>
    </row>
    <row r="54" spans="2:7" ht="14.1" customHeight="1" x14ac:dyDescent="0.2">
      <c r="B54" s="238">
        <v>48</v>
      </c>
      <c r="C54" s="242" t="s">
        <v>491</v>
      </c>
      <c r="D54" s="243" t="s">
        <v>690</v>
      </c>
      <c r="E54" s="240">
        <f>SUM(E55:E60)</f>
        <v>0</v>
      </c>
      <c r="F54" s="240">
        <f>SUM(F55:F60)</f>
        <v>0</v>
      </c>
      <c r="G54" s="244" t="str">
        <f t="shared" si="0"/>
        <v/>
      </c>
    </row>
    <row r="55" spans="2:7" ht="14.1" customHeight="1" x14ac:dyDescent="0.2">
      <c r="B55" s="88">
        <v>49</v>
      </c>
      <c r="C55" s="91" t="s">
        <v>691</v>
      </c>
      <c r="D55" s="92" t="s">
        <v>692</v>
      </c>
      <c r="E55" s="68">
        <v>0</v>
      </c>
      <c r="F55" s="68">
        <v>0</v>
      </c>
      <c r="G55" s="93" t="str">
        <f t="shared" si="0"/>
        <v/>
      </c>
    </row>
    <row r="56" spans="2:7" ht="14.1" customHeight="1" x14ac:dyDescent="0.2">
      <c r="B56" s="88">
        <v>50</v>
      </c>
      <c r="C56" s="91" t="s">
        <v>693</v>
      </c>
      <c r="D56" s="92" t="s">
        <v>694</v>
      </c>
      <c r="E56" s="68">
        <v>0</v>
      </c>
      <c r="F56" s="68">
        <v>0</v>
      </c>
      <c r="G56" s="93" t="str">
        <f t="shared" si="0"/>
        <v/>
      </c>
    </row>
    <row r="57" spans="2:7" ht="14.1" customHeight="1" x14ac:dyDescent="0.2">
      <c r="B57" s="88">
        <v>51</v>
      </c>
      <c r="C57" s="91" t="s">
        <v>695</v>
      </c>
      <c r="D57" s="92" t="s">
        <v>696</v>
      </c>
      <c r="E57" s="68">
        <v>0</v>
      </c>
      <c r="F57" s="68">
        <v>0</v>
      </c>
      <c r="G57" s="93" t="str">
        <f t="shared" si="0"/>
        <v/>
      </c>
    </row>
    <row r="58" spans="2:7" ht="14.1" customHeight="1" x14ac:dyDescent="0.2">
      <c r="B58" s="88">
        <v>52</v>
      </c>
      <c r="C58" s="91" t="s">
        <v>697</v>
      </c>
      <c r="D58" s="92" t="s">
        <v>698</v>
      </c>
      <c r="E58" s="68">
        <v>0</v>
      </c>
      <c r="F58" s="68">
        <v>0</v>
      </c>
      <c r="G58" s="93" t="str">
        <f t="shared" si="0"/>
        <v/>
      </c>
    </row>
    <row r="59" spans="2:7" ht="14.1" customHeight="1" x14ac:dyDescent="0.2">
      <c r="B59" s="88">
        <v>53</v>
      </c>
      <c r="C59" s="91" t="s">
        <v>699</v>
      </c>
      <c r="D59" s="92" t="s">
        <v>700</v>
      </c>
      <c r="E59" s="68">
        <v>0</v>
      </c>
      <c r="F59" s="68">
        <v>0</v>
      </c>
      <c r="G59" s="93" t="str">
        <f t="shared" si="0"/>
        <v/>
      </c>
    </row>
    <row r="60" spans="2:7" ht="14.1" customHeight="1" x14ac:dyDescent="0.2">
      <c r="B60" s="88">
        <v>54</v>
      </c>
      <c r="C60" s="91" t="s">
        <v>701</v>
      </c>
      <c r="D60" s="92" t="s">
        <v>702</v>
      </c>
      <c r="E60" s="68">
        <v>0</v>
      </c>
      <c r="F60" s="68">
        <v>0</v>
      </c>
      <c r="G60" s="93" t="str">
        <f t="shared" si="0"/>
        <v/>
      </c>
    </row>
    <row r="61" spans="2:7" x14ac:dyDescent="0.2">
      <c r="B61" s="238">
        <v>55</v>
      </c>
      <c r="C61" s="242" t="s">
        <v>703</v>
      </c>
      <c r="D61" s="243" t="s">
        <v>704</v>
      </c>
      <c r="E61" s="240">
        <f>SUM(E62:E67)</f>
        <v>1350000</v>
      </c>
      <c r="F61" s="240">
        <f>SUM(F62:F67)</f>
        <v>1400000</v>
      </c>
      <c r="G61" s="244">
        <f t="shared" si="0"/>
        <v>103.7037037037037</v>
      </c>
    </row>
    <row r="62" spans="2:7" x14ac:dyDescent="0.2">
      <c r="B62" s="88">
        <v>56</v>
      </c>
      <c r="C62" s="91" t="s">
        <v>705</v>
      </c>
      <c r="D62" s="92" t="s">
        <v>706</v>
      </c>
      <c r="E62" s="68">
        <f>'21'!J38</f>
        <v>450000</v>
      </c>
      <c r="F62" s="68">
        <f>'21'!M38</f>
        <v>480000</v>
      </c>
      <c r="G62" s="93">
        <f t="shared" si="0"/>
        <v>106.66666666666667</v>
      </c>
    </row>
    <row r="63" spans="2:7" x14ac:dyDescent="0.2">
      <c r="B63" s="88">
        <v>57</v>
      </c>
      <c r="C63" s="91" t="s">
        <v>707</v>
      </c>
      <c r="D63" s="92" t="s">
        <v>708</v>
      </c>
      <c r="E63" s="68">
        <f>'21'!J39</f>
        <v>150000</v>
      </c>
      <c r="F63" s="68">
        <f>'21'!M39</f>
        <v>170000</v>
      </c>
      <c r="G63" s="93">
        <f t="shared" si="0"/>
        <v>113.33333333333333</v>
      </c>
    </row>
    <row r="64" spans="2:7" x14ac:dyDescent="0.2">
      <c r="B64" s="88">
        <v>58</v>
      </c>
      <c r="C64" s="91" t="s">
        <v>709</v>
      </c>
      <c r="D64" s="92" t="s">
        <v>710</v>
      </c>
      <c r="E64" s="68">
        <f>'21'!J36</f>
        <v>450000</v>
      </c>
      <c r="F64" s="68">
        <f>'21'!M36</f>
        <v>450000</v>
      </c>
      <c r="G64" s="93">
        <f t="shared" si="0"/>
        <v>100</v>
      </c>
    </row>
    <row r="65" spans="2:7" x14ac:dyDescent="0.2">
      <c r="B65" s="88">
        <v>59</v>
      </c>
      <c r="C65" s="91" t="s">
        <v>711</v>
      </c>
      <c r="D65" s="92" t="s">
        <v>712</v>
      </c>
      <c r="E65" s="68">
        <f>'21'!J37+'21'!J42</f>
        <v>300000</v>
      </c>
      <c r="F65" s="68">
        <f>'21'!M37+'21'!M42</f>
        <v>300000</v>
      </c>
      <c r="G65" s="93">
        <f t="shared" si="0"/>
        <v>100</v>
      </c>
    </row>
    <row r="66" spans="2:7" x14ac:dyDescent="0.2">
      <c r="B66" s="88">
        <v>60</v>
      </c>
      <c r="C66" s="91" t="s">
        <v>713</v>
      </c>
      <c r="D66" s="92" t="s">
        <v>714</v>
      </c>
      <c r="E66" s="68">
        <v>0</v>
      </c>
      <c r="F66" s="68">
        <v>0</v>
      </c>
      <c r="G66" s="93" t="str">
        <f t="shared" si="0"/>
        <v/>
      </c>
    </row>
    <row r="67" spans="2:7" x14ac:dyDescent="0.2">
      <c r="B67" s="88">
        <v>61</v>
      </c>
      <c r="C67" s="91" t="s">
        <v>715</v>
      </c>
      <c r="D67" s="92" t="s">
        <v>716</v>
      </c>
      <c r="E67" s="68">
        <v>0</v>
      </c>
      <c r="F67" s="68">
        <v>0</v>
      </c>
      <c r="G67" s="93" t="str">
        <f t="shared" si="0"/>
        <v/>
      </c>
    </row>
    <row r="68" spans="2:7" x14ac:dyDescent="0.2">
      <c r="B68" s="238">
        <v>62</v>
      </c>
      <c r="C68" s="242" t="s">
        <v>717</v>
      </c>
      <c r="D68" s="243" t="s">
        <v>718</v>
      </c>
      <c r="E68" s="240">
        <f>SUM(E69:E76)</f>
        <v>20712650</v>
      </c>
      <c r="F68" s="240">
        <f>SUM(F69:F76)</f>
        <v>21476610</v>
      </c>
      <c r="G68" s="244">
        <f t="shared" si="0"/>
        <v>103.68837401298241</v>
      </c>
    </row>
    <row r="69" spans="2:7" x14ac:dyDescent="0.2">
      <c r="B69" s="88">
        <v>63</v>
      </c>
      <c r="C69" s="91" t="s">
        <v>719</v>
      </c>
      <c r="D69" s="92" t="s">
        <v>720</v>
      </c>
      <c r="E69" s="68">
        <f>'21'!J20+'21'!J28+'21'!J32+'21'!J34+'21'!J35+'25'!J31+'26'!J31+'27'!J31+'28'!J31+'29'!J31+'30'!J31+'31'!J31</f>
        <v>13235660</v>
      </c>
      <c r="F69" s="68">
        <f>'21'!M20+'21'!M28+'21'!M32+'21'!M34+'21'!M35+'25'!M31+'26'!M31+'27'!M31+'28'!M31+'29'!M31+'30'!M31+'31'!M31</f>
        <v>13937590</v>
      </c>
      <c r="G69" s="93">
        <f t="shared" si="0"/>
        <v>105.3033245036515</v>
      </c>
    </row>
    <row r="70" spans="2:7" x14ac:dyDescent="0.2">
      <c r="B70" s="88">
        <v>64</v>
      </c>
      <c r="C70" s="91" t="s">
        <v>721</v>
      </c>
      <c r="D70" s="92" t="s">
        <v>722</v>
      </c>
      <c r="E70" s="68">
        <f>'22'!J31+'23'!J31+'24'!J31</f>
        <v>4937450</v>
      </c>
      <c r="F70" s="68">
        <f>'22'!M31+'23'!M31+'24'!M31</f>
        <v>5082470</v>
      </c>
      <c r="G70" s="93">
        <f t="shared" si="0"/>
        <v>102.93714366727764</v>
      </c>
    </row>
    <row r="71" spans="2:7" x14ac:dyDescent="0.2">
      <c r="B71" s="88">
        <v>65</v>
      </c>
      <c r="C71" s="91" t="s">
        <v>723</v>
      </c>
      <c r="D71" s="92" t="s">
        <v>724</v>
      </c>
      <c r="E71" s="68">
        <v>0</v>
      </c>
      <c r="F71" s="68">
        <v>0</v>
      </c>
      <c r="G71" s="93" t="str">
        <f t="shared" si="0"/>
        <v/>
      </c>
    </row>
    <row r="72" spans="2:7" x14ac:dyDescent="0.2">
      <c r="B72" s="88">
        <v>66</v>
      </c>
      <c r="C72" s="91" t="s">
        <v>725</v>
      </c>
      <c r="D72" s="92" t="s">
        <v>726</v>
      </c>
      <c r="E72" s="68">
        <f>'21'!J31+'21'!J33</f>
        <v>320000</v>
      </c>
      <c r="F72" s="68">
        <f>'21'!M31+'21'!M33</f>
        <v>320000</v>
      </c>
      <c r="G72" s="93">
        <f t="shared" si="0"/>
        <v>100</v>
      </c>
    </row>
    <row r="73" spans="2:7" x14ac:dyDescent="0.2">
      <c r="B73" s="88">
        <v>67</v>
      </c>
      <c r="C73" s="91" t="s">
        <v>727</v>
      </c>
      <c r="D73" s="92" t="s">
        <v>728</v>
      </c>
      <c r="E73" s="68">
        <v>0</v>
      </c>
      <c r="F73" s="68">
        <v>0</v>
      </c>
      <c r="G73" s="93" t="str">
        <f t="shared" si="0"/>
        <v/>
      </c>
    </row>
    <row r="74" spans="2:7" x14ac:dyDescent="0.2">
      <c r="B74" s="88">
        <v>68</v>
      </c>
      <c r="C74" s="91" t="s">
        <v>729</v>
      </c>
      <c r="D74" s="92" t="s">
        <v>730</v>
      </c>
      <c r="E74" s="68">
        <v>0</v>
      </c>
      <c r="F74" s="68">
        <v>0</v>
      </c>
      <c r="G74" s="93" t="str">
        <f t="shared" ref="G74:G86" si="1">IF(E74=0,"",F74/E74*100)</f>
        <v/>
      </c>
    </row>
    <row r="75" spans="2:7" x14ac:dyDescent="0.2">
      <c r="B75" s="88">
        <v>69</v>
      </c>
      <c r="C75" s="91" t="s">
        <v>731</v>
      </c>
      <c r="D75" s="92" t="s">
        <v>732</v>
      </c>
      <c r="E75" s="68">
        <v>0</v>
      </c>
      <c r="F75" s="68">
        <v>0</v>
      </c>
      <c r="G75" s="93" t="str">
        <f t="shared" si="1"/>
        <v/>
      </c>
    </row>
    <row r="76" spans="2:7" x14ac:dyDescent="0.2">
      <c r="B76" s="88">
        <v>70</v>
      </c>
      <c r="C76" s="91" t="s">
        <v>733</v>
      </c>
      <c r="D76" s="92" t="s">
        <v>734</v>
      </c>
      <c r="E76" s="68">
        <f>'21'!J49-'21'!J20-'21'!J28-'21'!J30-'21'!J41</f>
        <v>2219540</v>
      </c>
      <c r="F76" s="68">
        <f>'21'!M49-'21'!M20-'21'!M28-'21'!M30-'21'!M41</f>
        <v>2136550</v>
      </c>
      <c r="G76" s="93">
        <f t="shared" si="1"/>
        <v>96.260936950899733</v>
      </c>
    </row>
    <row r="77" spans="2:7" x14ac:dyDescent="0.2">
      <c r="B77" s="238">
        <v>71</v>
      </c>
      <c r="C77" s="242" t="s">
        <v>735</v>
      </c>
      <c r="D77" s="239" t="s">
        <v>736</v>
      </c>
      <c r="E77" s="240">
        <f>SUM(E78:E86)</f>
        <v>8909270</v>
      </c>
      <c r="F77" s="240">
        <f>SUM(F78:F86)</f>
        <v>9150500</v>
      </c>
      <c r="G77" s="244">
        <f t="shared" si="1"/>
        <v>102.70762924459579</v>
      </c>
    </row>
    <row r="78" spans="2:7" x14ac:dyDescent="0.2">
      <c r="B78" s="88">
        <v>72</v>
      </c>
      <c r="C78" s="91" t="s">
        <v>737</v>
      </c>
      <c r="D78" s="92" t="s">
        <v>738</v>
      </c>
      <c r="E78" s="68">
        <v>0</v>
      </c>
      <c r="F78" s="68">
        <v>0</v>
      </c>
      <c r="G78" s="93" t="str">
        <f t="shared" si="1"/>
        <v/>
      </c>
    </row>
    <row r="79" spans="2:7" x14ac:dyDescent="0.2">
      <c r="B79" s="88">
        <v>73</v>
      </c>
      <c r="C79" s="91" t="s">
        <v>739</v>
      </c>
      <c r="D79" s="92" t="s">
        <v>740</v>
      </c>
      <c r="E79" s="68">
        <v>0</v>
      </c>
      <c r="F79" s="68">
        <v>0</v>
      </c>
      <c r="G79" s="93" t="str">
        <f t="shared" si="1"/>
        <v/>
      </c>
    </row>
    <row r="80" spans="2:7" x14ac:dyDescent="0.2">
      <c r="B80" s="88">
        <v>74</v>
      </c>
      <c r="C80" s="91" t="s">
        <v>741</v>
      </c>
      <c r="D80" s="92" t="s">
        <v>742</v>
      </c>
      <c r="E80" s="68">
        <v>0</v>
      </c>
      <c r="F80" s="68">
        <v>0</v>
      </c>
      <c r="G80" s="93" t="str">
        <f t="shared" si="1"/>
        <v/>
      </c>
    </row>
    <row r="81" spans="2:7" x14ac:dyDescent="0.2">
      <c r="B81" s="88">
        <v>75</v>
      </c>
      <c r="C81" s="91" t="s">
        <v>743</v>
      </c>
      <c r="D81" s="92" t="s">
        <v>744</v>
      </c>
      <c r="E81" s="68">
        <v>0</v>
      </c>
      <c r="F81" s="68">
        <v>0</v>
      </c>
      <c r="G81" s="93" t="str">
        <f t="shared" si="1"/>
        <v/>
      </c>
    </row>
    <row r="82" spans="2:7" x14ac:dyDescent="0.2">
      <c r="B82" s="88">
        <v>76</v>
      </c>
      <c r="C82" s="91" t="s">
        <v>745</v>
      </c>
      <c r="D82" s="92" t="s">
        <v>746</v>
      </c>
      <c r="E82" s="68">
        <v>0</v>
      </c>
      <c r="F82" s="68">
        <v>0</v>
      </c>
      <c r="G82" s="93" t="str">
        <f t="shared" si="1"/>
        <v/>
      </c>
    </row>
    <row r="83" spans="2:7" x14ac:dyDescent="0.2">
      <c r="B83" s="88">
        <v>77</v>
      </c>
      <c r="C83" s="91" t="s">
        <v>747</v>
      </c>
      <c r="D83" s="92" t="s">
        <v>748</v>
      </c>
      <c r="E83" s="68">
        <v>0</v>
      </c>
      <c r="F83" s="68">
        <v>0</v>
      </c>
      <c r="G83" s="93" t="str">
        <f t="shared" si="1"/>
        <v/>
      </c>
    </row>
    <row r="84" spans="2:7" x14ac:dyDescent="0.2">
      <c r="B84" s="88">
        <v>78</v>
      </c>
      <c r="C84" s="91" t="s">
        <v>749</v>
      </c>
      <c r="D84" s="92" t="s">
        <v>750</v>
      </c>
      <c r="E84" s="68">
        <v>0</v>
      </c>
      <c r="F84" s="68">
        <v>0</v>
      </c>
      <c r="G84" s="93" t="str">
        <f t="shared" si="1"/>
        <v/>
      </c>
    </row>
    <row r="85" spans="2:7" x14ac:dyDescent="0.2">
      <c r="B85" s="88">
        <v>79</v>
      </c>
      <c r="C85" s="91" t="s">
        <v>751</v>
      </c>
      <c r="D85" s="92" t="s">
        <v>752</v>
      </c>
      <c r="E85" s="68">
        <v>0</v>
      </c>
      <c r="F85" s="68">
        <v>0</v>
      </c>
      <c r="G85" s="93" t="str">
        <f t="shared" si="1"/>
        <v/>
      </c>
    </row>
    <row r="86" spans="2:7" x14ac:dyDescent="0.2">
      <c r="B86" s="88">
        <v>80</v>
      </c>
      <c r="C86" s="91" t="s">
        <v>753</v>
      </c>
      <c r="D86" s="92" t="s">
        <v>754</v>
      </c>
      <c r="E86" s="68">
        <f>'18'!J37+'32'!J35</f>
        <v>8909270</v>
      </c>
      <c r="F86" s="68">
        <f>'18'!M37+'32'!M35</f>
        <v>9150500</v>
      </c>
      <c r="G86" s="93">
        <f t="shared" si="1"/>
        <v>102.70762924459579</v>
      </c>
    </row>
    <row r="87" spans="2:7" x14ac:dyDescent="0.2">
      <c r="B87" s="48"/>
      <c r="C87" s="48"/>
      <c r="D87" s="48"/>
      <c r="E87" s="48"/>
      <c r="F87" s="48"/>
      <c r="G87" s="48"/>
    </row>
    <row r="88" spans="2:7" x14ac:dyDescent="0.2">
      <c r="B88" s="48"/>
      <c r="C88" s="48"/>
      <c r="D88" s="48"/>
      <c r="E88" s="48"/>
      <c r="F88" s="48"/>
      <c r="G88" s="48"/>
    </row>
    <row r="89" spans="2:7" x14ac:dyDescent="0.2">
      <c r="B89" s="48"/>
      <c r="C89" s="48"/>
      <c r="D89" s="48"/>
      <c r="E89" s="48"/>
      <c r="F89" s="48"/>
      <c r="G89" s="48"/>
    </row>
    <row r="90" spans="2:7" x14ac:dyDescent="0.2">
      <c r="B90" s="48"/>
      <c r="C90" s="48"/>
      <c r="D90" s="48"/>
      <c r="E90" s="48"/>
      <c r="F90" s="48"/>
      <c r="G90" s="48"/>
    </row>
    <row r="91" spans="2:7" x14ac:dyDescent="0.2">
      <c r="B91" s="48"/>
      <c r="C91" s="48"/>
      <c r="D91" s="48"/>
      <c r="E91" s="48"/>
      <c r="F91" s="48"/>
      <c r="G91" s="48"/>
    </row>
    <row r="92" spans="2:7" x14ac:dyDescent="0.2">
      <c r="B92" s="48"/>
      <c r="C92" s="48"/>
      <c r="D92" s="48"/>
      <c r="E92" s="48"/>
      <c r="F92" s="48"/>
      <c r="G92" s="48"/>
    </row>
    <row r="93" spans="2:7" x14ac:dyDescent="0.2">
      <c r="B93" s="48"/>
      <c r="C93" s="48"/>
      <c r="D93" s="48"/>
      <c r="E93" s="48"/>
      <c r="F93" s="48"/>
      <c r="G93" s="48"/>
    </row>
    <row r="94" spans="2:7" x14ac:dyDescent="0.2">
      <c r="B94" s="48"/>
      <c r="C94" s="48"/>
      <c r="D94" s="48"/>
      <c r="E94" s="48"/>
      <c r="F94" s="48"/>
      <c r="G94" s="48"/>
    </row>
    <row r="95" spans="2:7" x14ac:dyDescent="0.2">
      <c r="B95" s="48"/>
      <c r="C95" s="48"/>
      <c r="D95" s="48"/>
      <c r="E95" s="48"/>
      <c r="F95" s="48"/>
      <c r="G95" s="48"/>
    </row>
    <row r="96" spans="2:7" x14ac:dyDescent="0.2">
      <c r="B96" s="48"/>
      <c r="C96" s="48"/>
      <c r="D96" s="48"/>
      <c r="E96" s="48"/>
      <c r="F96" s="48"/>
      <c r="G96" s="48"/>
    </row>
    <row r="97" spans="2:7" x14ac:dyDescent="0.2">
      <c r="B97" s="48"/>
      <c r="C97" s="48"/>
      <c r="D97" s="48"/>
      <c r="E97" s="48"/>
      <c r="F97" s="48"/>
      <c r="G97" s="48"/>
    </row>
    <row r="98" spans="2:7" x14ac:dyDescent="0.2">
      <c r="B98" s="48"/>
      <c r="C98" s="48"/>
      <c r="D98" s="48"/>
      <c r="E98" s="48"/>
      <c r="F98" s="48"/>
      <c r="G98" s="48"/>
    </row>
    <row r="99" spans="2:7" x14ac:dyDescent="0.2">
      <c r="B99" s="48"/>
      <c r="C99" s="48"/>
      <c r="D99" s="48"/>
      <c r="E99" s="48"/>
      <c r="F99" s="48"/>
      <c r="G99" s="48"/>
    </row>
    <row r="100" spans="2:7" x14ac:dyDescent="0.2">
      <c r="B100" s="48"/>
      <c r="C100" s="48"/>
      <c r="D100" s="48"/>
      <c r="E100" s="48"/>
      <c r="F100" s="48"/>
      <c r="G100" s="48"/>
    </row>
    <row r="101" spans="2:7" x14ac:dyDescent="0.2">
      <c r="B101" s="48"/>
      <c r="C101" s="48"/>
      <c r="D101" s="48"/>
      <c r="E101" s="48"/>
      <c r="F101" s="48"/>
      <c r="G101" s="48"/>
    </row>
    <row r="102" spans="2:7" x14ac:dyDescent="0.2">
      <c r="B102" s="48"/>
      <c r="C102" s="48"/>
      <c r="D102" s="48"/>
      <c r="E102" s="48"/>
      <c r="F102" s="48"/>
      <c r="G102" s="48"/>
    </row>
    <row r="103" spans="2:7" x14ac:dyDescent="0.2">
      <c r="B103" s="48"/>
      <c r="C103" s="48"/>
      <c r="D103" s="48"/>
      <c r="E103" s="48"/>
      <c r="F103" s="48"/>
      <c r="G103" s="48"/>
    </row>
    <row r="104" spans="2:7" x14ac:dyDescent="0.2">
      <c r="B104" s="48"/>
      <c r="C104" s="48"/>
      <c r="D104" s="48"/>
      <c r="E104" s="48"/>
      <c r="F104" s="48"/>
      <c r="G104" s="48"/>
    </row>
    <row r="105" spans="2:7" x14ac:dyDescent="0.2">
      <c r="B105" s="48"/>
      <c r="C105" s="48"/>
      <c r="D105" s="48"/>
      <c r="E105" s="48"/>
      <c r="F105" s="48"/>
      <c r="G105" s="48"/>
    </row>
    <row r="106" spans="2:7" x14ac:dyDescent="0.2">
      <c r="B106" s="48"/>
      <c r="C106" s="48"/>
      <c r="D106" s="48"/>
      <c r="E106" s="48"/>
      <c r="F106" s="48"/>
      <c r="G106" s="48"/>
    </row>
    <row r="107" spans="2:7" x14ac:dyDescent="0.2">
      <c r="B107" s="48"/>
      <c r="C107" s="48"/>
      <c r="D107" s="48"/>
      <c r="E107" s="48"/>
      <c r="F107" s="48"/>
      <c r="G107" s="48"/>
    </row>
    <row r="108" spans="2:7" x14ac:dyDescent="0.2">
      <c r="B108" s="48"/>
      <c r="C108" s="48"/>
      <c r="D108" s="48"/>
      <c r="E108" s="48"/>
      <c r="F108" s="48"/>
      <c r="G108" s="48"/>
    </row>
    <row r="109" spans="2:7" x14ac:dyDescent="0.2">
      <c r="B109" s="48"/>
      <c r="C109" s="48"/>
      <c r="D109" s="48"/>
      <c r="E109" s="48"/>
      <c r="F109" s="48"/>
      <c r="G109" s="48"/>
    </row>
    <row r="110" spans="2:7" x14ac:dyDescent="0.2">
      <c r="B110" s="48"/>
      <c r="C110" s="48"/>
      <c r="D110" s="48"/>
      <c r="E110" s="48"/>
      <c r="F110" s="48"/>
      <c r="G110" s="48"/>
    </row>
    <row r="111" spans="2:7" x14ac:dyDescent="0.2">
      <c r="B111" s="48"/>
      <c r="C111" s="48"/>
      <c r="D111" s="48"/>
      <c r="E111" s="48"/>
      <c r="F111" s="48"/>
      <c r="G111" s="48"/>
    </row>
    <row r="112" spans="2:7" x14ac:dyDescent="0.2">
      <c r="B112" s="48"/>
      <c r="C112" s="48"/>
      <c r="D112" s="48"/>
      <c r="E112" s="48"/>
      <c r="F112" s="48"/>
      <c r="G112" s="48"/>
    </row>
    <row r="113" spans="2:7" x14ac:dyDescent="0.2">
      <c r="B113" s="48"/>
      <c r="C113" s="48"/>
      <c r="D113" s="48"/>
      <c r="E113" s="48"/>
      <c r="F113" s="48"/>
      <c r="G113" s="48"/>
    </row>
    <row r="114" spans="2:7" x14ac:dyDescent="0.2">
      <c r="B114" s="48"/>
      <c r="C114" s="48"/>
      <c r="D114" s="48"/>
      <c r="E114" s="48"/>
      <c r="F114" s="48"/>
      <c r="G114" s="48"/>
    </row>
    <row r="115" spans="2:7" x14ac:dyDescent="0.2">
      <c r="B115" s="48"/>
      <c r="C115" s="48"/>
      <c r="D115" s="48"/>
      <c r="E115" s="48"/>
      <c r="F115" s="48"/>
      <c r="G115" s="48"/>
    </row>
    <row r="116" spans="2:7" x14ac:dyDescent="0.2">
      <c r="B116" s="48"/>
      <c r="C116" s="48"/>
      <c r="D116" s="48"/>
      <c r="E116" s="48"/>
      <c r="F116" s="48"/>
      <c r="G116" s="48"/>
    </row>
    <row r="117" spans="2:7" x14ac:dyDescent="0.2">
      <c r="B117" s="48"/>
      <c r="C117" s="48"/>
      <c r="D117" s="48"/>
      <c r="E117" s="48"/>
      <c r="F117" s="48"/>
      <c r="G117" s="48"/>
    </row>
    <row r="118" spans="2:7" x14ac:dyDescent="0.2">
      <c r="B118" s="48"/>
      <c r="C118" s="48"/>
      <c r="D118" s="48"/>
      <c r="E118" s="48"/>
      <c r="F118" s="48"/>
      <c r="G118" s="48"/>
    </row>
    <row r="119" spans="2:7" x14ac:dyDescent="0.2">
      <c r="B119" s="48"/>
      <c r="C119" s="48"/>
      <c r="D119" s="48"/>
      <c r="E119" s="48"/>
      <c r="F119" s="48"/>
      <c r="G119" s="48"/>
    </row>
  </sheetData>
  <mergeCells count="1">
    <mergeCell ref="B2:G2"/>
  </mergeCells>
  <phoneticPr fontId="0" type="noConversion"/>
  <pageMargins left="0.9055118110236221" right="0.31496062992125984" top="0.35433070866141736" bottom="0.51181102362204722" header="0.39370078740157483" footer="0.31496062992125984"/>
  <pageSetup paperSize="9" scale="87" firstPageNumber="46" orientation="landscape" r:id="rId1"/>
  <headerFooter alignWithMargins="0">
    <oddFooter>&amp;R&amp;P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J46"/>
  <sheetViews>
    <sheetView zoomScaleNormal="100" workbookViewId="0">
      <selection activeCell="F26" sqref="F26"/>
    </sheetView>
  </sheetViews>
  <sheetFormatPr defaultRowHeight="12.75" x14ac:dyDescent="0.2"/>
  <cols>
    <col min="1" max="1" width="15.7109375" style="34" customWidth="1"/>
    <col min="2" max="2" width="82.28515625" customWidth="1"/>
    <col min="3" max="6" width="18.7109375" customWidth="1"/>
  </cols>
  <sheetData>
    <row r="1" spans="1:6" ht="7.5" customHeight="1" x14ac:dyDescent="0.2"/>
    <row r="2" spans="1:6" ht="15.75" x14ac:dyDescent="0.25">
      <c r="A2" s="621" t="s">
        <v>818</v>
      </c>
      <c r="B2" s="678"/>
      <c r="C2" s="678"/>
      <c r="D2" s="678"/>
      <c r="E2" s="678"/>
      <c r="F2" s="678"/>
    </row>
    <row r="3" spans="1:6" ht="6.75" customHeight="1" x14ac:dyDescent="0.2"/>
    <row r="4" spans="1:6" s="38" customFormat="1" ht="12.75" customHeight="1" x14ac:dyDescent="0.2">
      <c r="A4" s="685" t="s">
        <v>568</v>
      </c>
      <c r="B4" s="685" t="s">
        <v>569</v>
      </c>
      <c r="C4" s="685" t="s">
        <v>813</v>
      </c>
      <c r="D4" s="682" t="s">
        <v>755</v>
      </c>
      <c r="E4" s="683"/>
      <c r="F4" s="684"/>
    </row>
    <row r="5" spans="1:6" s="38" customFormat="1" ht="57.75" customHeight="1" x14ac:dyDescent="0.2">
      <c r="A5" s="686"/>
      <c r="B5" s="686"/>
      <c r="C5" s="686"/>
      <c r="D5" s="77" t="s">
        <v>756</v>
      </c>
      <c r="E5" s="77" t="s">
        <v>757</v>
      </c>
      <c r="F5" s="77" t="s">
        <v>758</v>
      </c>
    </row>
    <row r="6" spans="1:6" s="38" customFormat="1" x14ac:dyDescent="0.2">
      <c r="A6" s="77">
        <v>1</v>
      </c>
      <c r="B6" s="78">
        <v>2</v>
      </c>
      <c r="C6" s="77" t="s">
        <v>759</v>
      </c>
      <c r="D6" s="77">
        <v>4</v>
      </c>
      <c r="E6" s="77">
        <v>5</v>
      </c>
      <c r="F6" s="77">
        <v>6</v>
      </c>
    </row>
    <row r="7" spans="1:6" ht="20.100000000000001" customHeight="1" x14ac:dyDescent="0.2">
      <c r="A7" s="71">
        <v>10010001</v>
      </c>
      <c r="B7" s="21" t="s">
        <v>16</v>
      </c>
      <c r="C7" s="69">
        <f>D7+E7+F7</f>
        <v>10000</v>
      </c>
      <c r="D7" s="69">
        <f>'1'!M26-E7-F7</f>
        <v>10000</v>
      </c>
      <c r="E7" s="69">
        <v>0</v>
      </c>
      <c r="F7" s="69">
        <v>0</v>
      </c>
    </row>
    <row r="8" spans="1:6" ht="20.100000000000001" customHeight="1" x14ac:dyDescent="0.2">
      <c r="A8" s="71">
        <v>11010001</v>
      </c>
      <c r="B8" s="21" t="s">
        <v>19</v>
      </c>
      <c r="C8" s="69">
        <f t="shared" ref="C8:C44" si="0">D8+E8+F8</f>
        <v>1250000</v>
      </c>
      <c r="D8" s="69">
        <f>'2'!M45-E8-F8</f>
        <v>1250000</v>
      </c>
      <c r="E8" s="69">
        <v>0</v>
      </c>
      <c r="F8" s="69">
        <v>0</v>
      </c>
    </row>
    <row r="9" spans="1:6" ht="20.100000000000001" customHeight="1" x14ac:dyDescent="0.2">
      <c r="A9" s="71">
        <v>11010003</v>
      </c>
      <c r="B9" s="21" t="s">
        <v>22</v>
      </c>
      <c r="C9" s="69">
        <f t="shared" si="0"/>
        <v>1000</v>
      </c>
      <c r="D9" s="69">
        <f>'3'!M26-E9-F9</f>
        <v>1000</v>
      </c>
      <c r="E9" s="69">
        <v>0</v>
      </c>
      <c r="F9" s="69">
        <v>0</v>
      </c>
    </row>
    <row r="10" spans="1:6" ht="20.100000000000001" customHeight="1" x14ac:dyDescent="0.2">
      <c r="A10" s="71">
        <v>11010004</v>
      </c>
      <c r="B10" s="21" t="s">
        <v>25</v>
      </c>
      <c r="C10" s="69">
        <f t="shared" si="0"/>
        <v>2000</v>
      </c>
      <c r="D10" s="69">
        <f>'4'!M26-E10-F10</f>
        <v>2000</v>
      </c>
      <c r="E10" s="69">
        <v>0</v>
      </c>
      <c r="F10" s="69">
        <v>0</v>
      </c>
    </row>
    <row r="11" spans="1:6" ht="20.100000000000001" customHeight="1" x14ac:dyDescent="0.2">
      <c r="A11" s="71">
        <v>11010005</v>
      </c>
      <c r="B11" s="248" t="s">
        <v>830</v>
      </c>
      <c r="C11" s="69">
        <f t="shared" si="0"/>
        <v>5000</v>
      </c>
      <c r="D11" s="69">
        <f>'5'!M26-E11-F11</f>
        <v>5000</v>
      </c>
      <c r="E11" s="69">
        <v>0</v>
      </c>
      <c r="F11" s="69">
        <v>0</v>
      </c>
    </row>
    <row r="12" spans="1:6" ht="20.100000000000001" customHeight="1" x14ac:dyDescent="0.2">
      <c r="A12" s="71">
        <v>11010006</v>
      </c>
      <c r="B12" s="248" t="s">
        <v>579</v>
      </c>
      <c r="C12" s="69">
        <f t="shared" ref="C12:C13" si="1">D12+E12+F12</f>
        <v>2000</v>
      </c>
      <c r="D12" s="69">
        <f>'6'!M29-E12-F12</f>
        <v>2000</v>
      </c>
      <c r="E12" s="69">
        <v>0</v>
      </c>
      <c r="F12" s="69">
        <v>0</v>
      </c>
    </row>
    <row r="13" spans="1:6" ht="20.100000000000001" customHeight="1" x14ac:dyDescent="0.2">
      <c r="A13" s="71">
        <v>11010007</v>
      </c>
      <c r="B13" s="248" t="s">
        <v>829</v>
      </c>
      <c r="C13" s="69">
        <f t="shared" si="1"/>
        <v>5000</v>
      </c>
      <c r="D13" s="69">
        <f>'7N'!M26-E13-F13</f>
        <v>5000</v>
      </c>
      <c r="E13" s="69">
        <v>0</v>
      </c>
      <c r="F13" s="69">
        <v>0</v>
      </c>
    </row>
    <row r="14" spans="1:6" ht="20.100000000000001" customHeight="1" x14ac:dyDescent="0.2">
      <c r="A14" s="71">
        <v>12010001</v>
      </c>
      <c r="B14" s="21" t="s">
        <v>33</v>
      </c>
      <c r="C14" s="69">
        <f t="shared" si="0"/>
        <v>80000</v>
      </c>
      <c r="D14" s="69">
        <f>'8'!M26-E14-F14</f>
        <v>80000</v>
      </c>
      <c r="E14" s="69">
        <v>0</v>
      </c>
      <c r="F14" s="69">
        <v>0</v>
      </c>
    </row>
    <row r="15" spans="1:6" ht="20.100000000000001" customHeight="1" x14ac:dyDescent="0.2">
      <c r="A15" s="71">
        <v>13010001</v>
      </c>
      <c r="B15" s="248" t="s">
        <v>36</v>
      </c>
      <c r="C15" s="69">
        <f t="shared" si="0"/>
        <v>430000</v>
      </c>
      <c r="D15" s="69">
        <f>'9'!M28-E15-F15</f>
        <v>430000</v>
      </c>
      <c r="E15" s="69">
        <v>0</v>
      </c>
      <c r="F15" s="69">
        <v>0</v>
      </c>
    </row>
    <row r="16" spans="1:6" ht="20.100000000000001" customHeight="1" x14ac:dyDescent="0.2">
      <c r="A16" s="71">
        <v>14010001</v>
      </c>
      <c r="B16" s="248" t="s">
        <v>39</v>
      </c>
      <c r="C16" s="69">
        <f t="shared" si="0"/>
        <v>5000</v>
      </c>
      <c r="D16" s="69">
        <f>'10'!M28-E16-F16</f>
        <v>5000</v>
      </c>
      <c r="E16" s="69">
        <v>0</v>
      </c>
      <c r="F16" s="69">
        <v>0</v>
      </c>
    </row>
    <row r="17" spans="1:10" ht="20.100000000000001" customHeight="1" x14ac:dyDescent="0.2">
      <c r="A17" s="71">
        <v>14020003</v>
      </c>
      <c r="B17" s="248" t="s">
        <v>580</v>
      </c>
      <c r="C17" s="69">
        <f t="shared" si="0"/>
        <v>102000</v>
      </c>
      <c r="D17" s="69">
        <f>'11'!M27-E17-F17</f>
        <v>102000</v>
      </c>
      <c r="E17" s="69">
        <v>0</v>
      </c>
      <c r="F17" s="69">
        <v>0</v>
      </c>
    </row>
    <row r="18" spans="1:10" ht="20.100000000000001" customHeight="1" x14ac:dyDescent="0.2">
      <c r="A18" s="71">
        <v>14050001</v>
      </c>
      <c r="B18" s="248" t="s">
        <v>581</v>
      </c>
      <c r="C18" s="69">
        <f t="shared" si="0"/>
        <v>1000</v>
      </c>
      <c r="D18" s="69">
        <f>'12'!M26-E18-F18</f>
        <v>1000</v>
      </c>
      <c r="E18" s="69">
        <v>0</v>
      </c>
      <c r="F18" s="69">
        <v>0</v>
      </c>
      <c r="J18" t="s">
        <v>515</v>
      </c>
    </row>
    <row r="19" spans="1:10" ht="20.100000000000001" customHeight="1" x14ac:dyDescent="0.2">
      <c r="A19" s="71">
        <v>14050002</v>
      </c>
      <c r="B19" s="248" t="s">
        <v>582</v>
      </c>
      <c r="C19" s="69">
        <f t="shared" si="0"/>
        <v>2000</v>
      </c>
      <c r="D19" s="69">
        <f>'13'!M26-E19-F19</f>
        <v>2000</v>
      </c>
      <c r="E19" s="69">
        <v>0</v>
      </c>
      <c r="F19" s="69">
        <v>0</v>
      </c>
    </row>
    <row r="20" spans="1:10" ht="20.100000000000001" customHeight="1" x14ac:dyDescent="0.2">
      <c r="A20" s="71">
        <v>14060001</v>
      </c>
      <c r="B20" s="248" t="s">
        <v>583</v>
      </c>
      <c r="C20" s="69">
        <f t="shared" si="0"/>
        <v>1000</v>
      </c>
      <c r="D20" s="69">
        <f>'14'!M26-E20-F20</f>
        <v>1000</v>
      </c>
      <c r="E20" s="69">
        <v>0</v>
      </c>
      <c r="F20" s="69">
        <v>0</v>
      </c>
    </row>
    <row r="21" spans="1:10" ht="20.100000000000001" customHeight="1" x14ac:dyDescent="0.2">
      <c r="A21" s="71">
        <v>14070001</v>
      </c>
      <c r="B21" s="248" t="s">
        <v>584</v>
      </c>
      <c r="C21" s="69">
        <f t="shared" ref="C21" si="2">D21+E21+F21</f>
        <v>10000</v>
      </c>
      <c r="D21" s="69">
        <f>'15'!M26-E21-F21</f>
        <v>10000</v>
      </c>
      <c r="E21" s="69">
        <v>0</v>
      </c>
      <c r="F21" s="69">
        <v>0</v>
      </c>
    </row>
    <row r="22" spans="1:10" ht="20.100000000000001" customHeight="1" x14ac:dyDescent="0.2">
      <c r="A22" s="71">
        <v>15010001</v>
      </c>
      <c r="B22" s="248" t="s">
        <v>585</v>
      </c>
      <c r="C22" s="69">
        <f t="shared" si="0"/>
        <v>5000</v>
      </c>
      <c r="D22" s="69">
        <f>'16'!M35-E22-F22</f>
        <v>5000</v>
      </c>
      <c r="E22" s="69">
        <v>0</v>
      </c>
      <c r="F22" s="69">
        <v>0</v>
      </c>
    </row>
    <row r="23" spans="1:10" ht="20.100000000000001" customHeight="1" x14ac:dyDescent="0.2">
      <c r="A23" s="71">
        <v>16010001</v>
      </c>
      <c r="B23" s="248" t="s">
        <v>51</v>
      </c>
      <c r="C23" s="69">
        <f t="shared" si="0"/>
        <v>15000</v>
      </c>
      <c r="D23" s="69">
        <f>'17'!M39-E23-F23</f>
        <v>15000</v>
      </c>
      <c r="E23" s="69">
        <v>0</v>
      </c>
      <c r="F23" s="69">
        <v>0</v>
      </c>
    </row>
    <row r="24" spans="1:10" ht="20.100000000000001" customHeight="1" x14ac:dyDescent="0.2">
      <c r="A24" s="71">
        <v>17010001</v>
      </c>
      <c r="B24" s="248" t="s">
        <v>52</v>
      </c>
      <c r="C24" s="69">
        <f t="shared" si="0"/>
        <v>3500</v>
      </c>
      <c r="D24" s="69">
        <f>'18'!M32-E24-F24</f>
        <v>3500</v>
      </c>
      <c r="E24" s="69">
        <v>0</v>
      </c>
      <c r="F24" s="69">
        <v>0</v>
      </c>
    </row>
    <row r="25" spans="1:10" ht="20.100000000000001" customHeight="1" x14ac:dyDescent="0.2">
      <c r="A25" s="71">
        <v>18010001</v>
      </c>
      <c r="B25" s="248" t="s">
        <v>53</v>
      </c>
      <c r="C25" s="69">
        <f t="shared" si="0"/>
        <v>1910000</v>
      </c>
      <c r="D25" s="69">
        <f>'19'!M30-E25-F25</f>
        <v>535430</v>
      </c>
      <c r="E25" s="69">
        <v>1374570</v>
      </c>
      <c r="F25" s="69">
        <v>0</v>
      </c>
    </row>
    <row r="26" spans="1:10" ht="20.100000000000001" customHeight="1" x14ac:dyDescent="0.2">
      <c r="A26" s="71">
        <v>19010001</v>
      </c>
      <c r="B26" s="248" t="s">
        <v>586</v>
      </c>
      <c r="C26" s="69">
        <f t="shared" si="0"/>
        <v>80000</v>
      </c>
      <c r="D26" s="69">
        <f>'20'!M36-E26-F26</f>
        <v>30000</v>
      </c>
      <c r="E26" s="69">
        <v>50000</v>
      </c>
      <c r="F26" s="69">
        <v>0</v>
      </c>
    </row>
    <row r="27" spans="1:10" ht="20.100000000000001" customHeight="1" x14ac:dyDescent="0.2">
      <c r="A27" s="71">
        <v>20010001</v>
      </c>
      <c r="B27" s="248" t="s">
        <v>55</v>
      </c>
      <c r="C27" s="69">
        <f t="shared" si="0"/>
        <v>1291700</v>
      </c>
      <c r="D27" s="69">
        <f>'21'!M44-E27-F27</f>
        <v>1057000</v>
      </c>
      <c r="E27" s="69">
        <v>0</v>
      </c>
      <c r="F27" s="69">
        <v>234700</v>
      </c>
    </row>
    <row r="28" spans="1:10" ht="20.100000000000001" customHeight="1" x14ac:dyDescent="0.2">
      <c r="A28" s="71">
        <v>20020002</v>
      </c>
      <c r="B28" s="248" t="s">
        <v>587</v>
      </c>
      <c r="C28" s="69">
        <f t="shared" si="0"/>
        <v>42000</v>
      </c>
      <c r="D28" s="69">
        <f>'22'!M26-E28-F28</f>
        <v>42000</v>
      </c>
      <c r="E28" s="69">
        <v>0</v>
      </c>
      <c r="F28" s="69">
        <v>0</v>
      </c>
    </row>
    <row r="29" spans="1:10" ht="20.100000000000001" customHeight="1" x14ac:dyDescent="0.2">
      <c r="A29" s="71">
        <v>20020003</v>
      </c>
      <c r="B29" s="248" t="s">
        <v>588</v>
      </c>
      <c r="C29" s="69">
        <f t="shared" si="0"/>
        <v>20000</v>
      </c>
      <c r="D29" s="69">
        <f>'23'!M26-E29-F29</f>
        <v>20000</v>
      </c>
      <c r="E29" s="69">
        <v>0</v>
      </c>
      <c r="F29" s="69">
        <v>0</v>
      </c>
    </row>
    <row r="30" spans="1:10" ht="20.100000000000001" customHeight="1" x14ac:dyDescent="0.2">
      <c r="A30" s="71">
        <v>20020004</v>
      </c>
      <c r="B30" s="248" t="s">
        <v>589</v>
      </c>
      <c r="C30" s="69">
        <f t="shared" si="0"/>
        <v>10000</v>
      </c>
      <c r="D30" s="69">
        <f>'24'!M26-E30-F30</f>
        <v>10000</v>
      </c>
      <c r="E30" s="69">
        <v>0</v>
      </c>
      <c r="F30" s="69">
        <v>0</v>
      </c>
    </row>
    <row r="31" spans="1:10" ht="20.100000000000001" customHeight="1" x14ac:dyDescent="0.2">
      <c r="A31" s="71">
        <v>20030001</v>
      </c>
      <c r="B31" s="248" t="s">
        <v>590</v>
      </c>
      <c r="C31" s="69">
        <f t="shared" si="0"/>
        <v>17000</v>
      </c>
      <c r="D31" s="69">
        <f>'25'!M26-E31-F31</f>
        <v>17000</v>
      </c>
      <c r="E31" s="69">
        <v>0</v>
      </c>
      <c r="F31" s="69">
        <v>0</v>
      </c>
    </row>
    <row r="32" spans="1:10" ht="20.100000000000001" customHeight="1" x14ac:dyDescent="0.2">
      <c r="A32" s="71">
        <v>20030002</v>
      </c>
      <c r="B32" s="248" t="s">
        <v>591</v>
      </c>
      <c r="C32" s="69">
        <f t="shared" si="0"/>
        <v>49000</v>
      </c>
      <c r="D32" s="69">
        <f>'26'!M26-E32-F32</f>
        <v>49000</v>
      </c>
      <c r="E32" s="69">
        <v>0</v>
      </c>
      <c r="F32" s="69">
        <v>0</v>
      </c>
    </row>
    <row r="33" spans="1:8" ht="20.100000000000001" customHeight="1" x14ac:dyDescent="0.2">
      <c r="A33" s="71">
        <v>20030003</v>
      </c>
      <c r="B33" s="248" t="s">
        <v>592</v>
      </c>
      <c r="C33" s="69">
        <f t="shared" si="0"/>
        <v>35000</v>
      </c>
      <c r="D33" s="69">
        <f>'27'!M26-E33-F33</f>
        <v>35000</v>
      </c>
      <c r="E33" s="69">
        <v>0</v>
      </c>
      <c r="F33" s="69">
        <v>0</v>
      </c>
    </row>
    <row r="34" spans="1:8" ht="20.100000000000001" customHeight="1" x14ac:dyDescent="0.2">
      <c r="A34" s="71">
        <v>20030004</v>
      </c>
      <c r="B34" s="248" t="s">
        <v>593</v>
      </c>
      <c r="C34" s="69">
        <f t="shared" si="0"/>
        <v>27000</v>
      </c>
      <c r="D34" s="69">
        <f>'28'!M26-E34-F34</f>
        <v>27000</v>
      </c>
      <c r="E34" s="69">
        <v>0</v>
      </c>
      <c r="F34" s="69">
        <v>0</v>
      </c>
    </row>
    <row r="35" spans="1:8" ht="20.100000000000001" customHeight="1" x14ac:dyDescent="0.2">
      <c r="A35" s="71">
        <v>20030005</v>
      </c>
      <c r="B35" s="248" t="s">
        <v>760</v>
      </c>
      <c r="C35" s="69">
        <f t="shared" si="0"/>
        <v>16000</v>
      </c>
      <c r="D35" s="69">
        <f>'29'!M26-E35-F35</f>
        <v>16000</v>
      </c>
      <c r="E35" s="69">
        <v>0</v>
      </c>
      <c r="F35" s="69">
        <v>0</v>
      </c>
    </row>
    <row r="36" spans="1:8" ht="20.100000000000001" customHeight="1" x14ac:dyDescent="0.2">
      <c r="A36" s="71">
        <v>20030006</v>
      </c>
      <c r="B36" s="248" t="s">
        <v>595</v>
      </c>
      <c r="C36" s="69">
        <f t="shared" si="0"/>
        <v>5000</v>
      </c>
      <c r="D36" s="69">
        <f>'30'!M26-E36-F36</f>
        <v>5000</v>
      </c>
      <c r="E36" s="69">
        <v>0</v>
      </c>
      <c r="F36" s="69">
        <v>0</v>
      </c>
    </row>
    <row r="37" spans="1:8" ht="20.100000000000001" customHeight="1" x14ac:dyDescent="0.2">
      <c r="A37" s="71">
        <v>20030007</v>
      </c>
      <c r="B37" s="248" t="s">
        <v>596</v>
      </c>
      <c r="C37" s="69">
        <f t="shared" si="0"/>
        <v>20000</v>
      </c>
      <c r="D37" s="69">
        <f>'31'!M26-E37-F37</f>
        <v>20000</v>
      </c>
      <c r="E37" s="69">
        <v>0</v>
      </c>
      <c r="F37" s="69">
        <v>0</v>
      </c>
    </row>
    <row r="38" spans="1:8" ht="20.100000000000001" customHeight="1" x14ac:dyDescent="0.2">
      <c r="A38" s="71">
        <v>21010001</v>
      </c>
      <c r="B38" s="248" t="s">
        <v>21</v>
      </c>
      <c r="C38" s="69">
        <f t="shared" si="0"/>
        <v>7000</v>
      </c>
      <c r="D38" s="69">
        <f>'32'!M30-E38-F38</f>
        <v>7000</v>
      </c>
      <c r="E38" s="69">
        <v>0</v>
      </c>
      <c r="F38" s="69">
        <v>0</v>
      </c>
    </row>
    <row r="39" spans="1:8" ht="20.100000000000001" customHeight="1" x14ac:dyDescent="0.2">
      <c r="A39" s="71">
        <v>22010001</v>
      </c>
      <c r="B39" s="248" t="s">
        <v>24</v>
      </c>
      <c r="C39" s="69">
        <f t="shared" si="0"/>
        <v>0</v>
      </c>
      <c r="D39" s="69">
        <f>'33'!M26-E39-F39</f>
        <v>0</v>
      </c>
      <c r="E39" s="69">
        <v>0</v>
      </c>
      <c r="F39" s="69">
        <v>0</v>
      </c>
    </row>
    <row r="40" spans="1:8" ht="20.100000000000001" customHeight="1" x14ac:dyDescent="0.2">
      <c r="A40" s="71">
        <v>23010001</v>
      </c>
      <c r="B40" s="248" t="s">
        <v>27</v>
      </c>
      <c r="C40" s="69">
        <f t="shared" si="0"/>
        <v>569000</v>
      </c>
      <c r="D40" s="69">
        <f>'34'!M30-E40-F40</f>
        <v>560000</v>
      </c>
      <c r="E40" s="69">
        <v>9000</v>
      </c>
      <c r="F40" s="69">
        <v>0</v>
      </c>
      <c r="H40" s="49"/>
    </row>
    <row r="41" spans="1:8" ht="20.100000000000001" customHeight="1" x14ac:dyDescent="0.2">
      <c r="A41" s="71">
        <v>24010001</v>
      </c>
      <c r="B41" s="21" t="s">
        <v>29</v>
      </c>
      <c r="C41" s="69">
        <f t="shared" si="0"/>
        <v>120000</v>
      </c>
      <c r="D41" s="69">
        <f>'35'!M26-E41-F41</f>
        <v>120000</v>
      </c>
      <c r="E41" s="69">
        <v>0</v>
      </c>
      <c r="F41" s="69">
        <v>0</v>
      </c>
    </row>
    <row r="42" spans="1:8" ht="20.100000000000001" customHeight="1" x14ac:dyDescent="0.2">
      <c r="A42" s="71">
        <v>26010001</v>
      </c>
      <c r="B42" s="21" t="s">
        <v>32</v>
      </c>
      <c r="C42" s="69">
        <f t="shared" si="0"/>
        <v>2000</v>
      </c>
      <c r="D42" s="69">
        <f>'36'!M26-E42-F42</f>
        <v>2000</v>
      </c>
      <c r="E42" s="69">
        <v>0</v>
      </c>
      <c r="F42" s="69">
        <v>0</v>
      </c>
    </row>
    <row r="43" spans="1:8" ht="20.100000000000001" customHeight="1" x14ac:dyDescent="0.2">
      <c r="A43" s="71">
        <v>27010001</v>
      </c>
      <c r="B43" s="248" t="s">
        <v>35</v>
      </c>
      <c r="C43" s="69">
        <f t="shared" si="0"/>
        <v>113000</v>
      </c>
      <c r="D43" s="69">
        <f>'37'!M26-E43-F43</f>
        <v>113000</v>
      </c>
      <c r="E43" s="69">
        <v>0</v>
      </c>
      <c r="F43" s="69">
        <v>0</v>
      </c>
    </row>
    <row r="44" spans="1:8" ht="20.100000000000001" customHeight="1" x14ac:dyDescent="0.2">
      <c r="A44" s="71">
        <v>28010001</v>
      </c>
      <c r="B44" s="21" t="s">
        <v>38</v>
      </c>
      <c r="C44" s="69">
        <f t="shared" si="0"/>
        <v>3000</v>
      </c>
      <c r="D44" s="69">
        <f>'38'!M26-E44-F44</f>
        <v>3000</v>
      </c>
      <c r="E44" s="69">
        <v>0</v>
      </c>
      <c r="F44" s="69">
        <v>0</v>
      </c>
    </row>
    <row r="45" spans="1:8" s="38" customFormat="1" ht="20.100000000000001" customHeight="1" x14ac:dyDescent="0.2">
      <c r="A45" s="50"/>
      <c r="B45" s="75" t="s">
        <v>597</v>
      </c>
      <c r="C45" s="76">
        <f>SUM(C7:C44)</f>
        <v>6266200</v>
      </c>
      <c r="D45" s="76">
        <f>SUM(D7:D44)</f>
        <v>4597930</v>
      </c>
      <c r="E45" s="76">
        <f>SUM(E7:E44)</f>
        <v>1433570</v>
      </c>
      <c r="F45" s="76">
        <f>SUM(F7:F44)</f>
        <v>234700</v>
      </c>
    </row>
    <row r="46" spans="1:8" ht="18" customHeight="1" x14ac:dyDescent="0.2"/>
  </sheetData>
  <mergeCells count="5">
    <mergeCell ref="A2:F2"/>
    <mergeCell ref="D4:F4"/>
    <mergeCell ref="A4:A5"/>
    <mergeCell ref="B4:B5"/>
    <mergeCell ref="C4:C5"/>
  </mergeCells>
  <phoneticPr fontId="0" type="noConversion"/>
  <pageMargins left="0.9055118110236221" right="0.31496062992125984" top="0.35433070866141736" bottom="0.33" header="0.39370078740157483" footer="0.31496062992125984"/>
  <pageSetup paperSize="9" scale="78" orientation="landscape" r:id="rId1"/>
  <headerFooter alignWithMargins="0">
    <oddFooter>&amp;R&amp;P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7"/>
  <dimension ref="A1:H37"/>
  <sheetViews>
    <sheetView zoomScaleNormal="100" workbookViewId="0">
      <selection activeCell="F26" sqref="F26"/>
    </sheetView>
  </sheetViews>
  <sheetFormatPr defaultRowHeight="15" customHeight="1" x14ac:dyDescent="0.2"/>
  <cols>
    <col min="2" max="2" width="46.7109375" customWidth="1"/>
    <col min="3" max="3" width="18" customWidth="1"/>
    <col min="4" max="4" width="12.42578125" customWidth="1"/>
    <col min="7" max="8" width="15.7109375" customWidth="1"/>
    <col min="9" max="9" width="8.7109375" customWidth="1"/>
    <col min="258" max="258" width="46.7109375" customWidth="1"/>
    <col min="259" max="259" width="18" customWidth="1"/>
    <col min="260" max="260" width="12.42578125" customWidth="1"/>
    <col min="263" max="264" width="15.7109375" customWidth="1"/>
    <col min="265" max="265" width="8.7109375" customWidth="1"/>
    <col min="514" max="514" width="46.7109375" customWidth="1"/>
    <col min="515" max="515" width="18" customWidth="1"/>
    <col min="516" max="516" width="12.42578125" customWidth="1"/>
    <col min="519" max="520" width="15.7109375" customWidth="1"/>
    <col min="521" max="521" width="8.7109375" customWidth="1"/>
    <col min="770" max="770" width="46.7109375" customWidth="1"/>
    <col min="771" max="771" width="18" customWidth="1"/>
    <col min="772" max="772" width="12.42578125" customWidth="1"/>
    <col min="775" max="776" width="15.7109375" customWidth="1"/>
    <col min="777" max="777" width="8.7109375" customWidth="1"/>
    <col min="1026" max="1026" width="46.7109375" customWidth="1"/>
    <col min="1027" max="1027" width="18" customWidth="1"/>
    <col min="1028" max="1028" width="12.42578125" customWidth="1"/>
    <col min="1031" max="1032" width="15.7109375" customWidth="1"/>
    <col min="1033" max="1033" width="8.7109375" customWidth="1"/>
    <col min="1282" max="1282" width="46.7109375" customWidth="1"/>
    <col min="1283" max="1283" width="18" customWidth="1"/>
    <col min="1284" max="1284" width="12.42578125" customWidth="1"/>
    <col min="1287" max="1288" width="15.7109375" customWidth="1"/>
    <col min="1289" max="1289" width="8.7109375" customWidth="1"/>
    <col min="1538" max="1538" width="46.7109375" customWidth="1"/>
    <col min="1539" max="1539" width="18" customWidth="1"/>
    <col min="1540" max="1540" width="12.42578125" customWidth="1"/>
    <col min="1543" max="1544" width="15.7109375" customWidth="1"/>
    <col min="1545" max="1545" width="8.7109375" customWidth="1"/>
    <col min="1794" max="1794" width="46.7109375" customWidth="1"/>
    <col min="1795" max="1795" width="18" customWidth="1"/>
    <col min="1796" max="1796" width="12.42578125" customWidth="1"/>
    <col min="1799" max="1800" width="15.7109375" customWidth="1"/>
    <col min="1801" max="1801" width="8.7109375" customWidth="1"/>
    <col min="2050" max="2050" width="46.7109375" customWidth="1"/>
    <col min="2051" max="2051" width="18" customWidth="1"/>
    <col min="2052" max="2052" width="12.42578125" customWidth="1"/>
    <col min="2055" max="2056" width="15.7109375" customWidth="1"/>
    <col min="2057" max="2057" width="8.7109375" customWidth="1"/>
    <col min="2306" max="2306" width="46.7109375" customWidth="1"/>
    <col min="2307" max="2307" width="18" customWidth="1"/>
    <col min="2308" max="2308" width="12.42578125" customWidth="1"/>
    <col min="2311" max="2312" width="15.7109375" customWidth="1"/>
    <col min="2313" max="2313" width="8.7109375" customWidth="1"/>
    <col min="2562" max="2562" width="46.7109375" customWidth="1"/>
    <col min="2563" max="2563" width="18" customWidth="1"/>
    <col min="2564" max="2564" width="12.42578125" customWidth="1"/>
    <col min="2567" max="2568" width="15.7109375" customWidth="1"/>
    <col min="2569" max="2569" width="8.7109375" customWidth="1"/>
    <col min="2818" max="2818" width="46.7109375" customWidth="1"/>
    <col min="2819" max="2819" width="18" customWidth="1"/>
    <col min="2820" max="2820" width="12.42578125" customWidth="1"/>
    <col min="2823" max="2824" width="15.7109375" customWidth="1"/>
    <col min="2825" max="2825" width="8.7109375" customWidth="1"/>
    <col min="3074" max="3074" width="46.7109375" customWidth="1"/>
    <col min="3075" max="3075" width="18" customWidth="1"/>
    <col min="3076" max="3076" width="12.42578125" customWidth="1"/>
    <col min="3079" max="3080" width="15.7109375" customWidth="1"/>
    <col min="3081" max="3081" width="8.7109375" customWidth="1"/>
    <col min="3330" max="3330" width="46.7109375" customWidth="1"/>
    <col min="3331" max="3331" width="18" customWidth="1"/>
    <col min="3332" max="3332" width="12.42578125" customWidth="1"/>
    <col min="3335" max="3336" width="15.7109375" customWidth="1"/>
    <col min="3337" max="3337" width="8.7109375" customWidth="1"/>
    <col min="3586" max="3586" width="46.7109375" customWidth="1"/>
    <col min="3587" max="3587" width="18" customWidth="1"/>
    <col min="3588" max="3588" width="12.42578125" customWidth="1"/>
    <col min="3591" max="3592" width="15.7109375" customWidth="1"/>
    <col min="3593" max="3593" width="8.7109375" customWidth="1"/>
    <col min="3842" max="3842" width="46.7109375" customWidth="1"/>
    <col min="3843" max="3843" width="18" customWidth="1"/>
    <col min="3844" max="3844" width="12.42578125" customWidth="1"/>
    <col min="3847" max="3848" width="15.7109375" customWidth="1"/>
    <col min="3849" max="3849" width="8.7109375" customWidth="1"/>
    <col min="4098" max="4098" width="46.7109375" customWidth="1"/>
    <col min="4099" max="4099" width="18" customWidth="1"/>
    <col min="4100" max="4100" width="12.42578125" customWidth="1"/>
    <col min="4103" max="4104" width="15.7109375" customWidth="1"/>
    <col min="4105" max="4105" width="8.7109375" customWidth="1"/>
    <col min="4354" max="4354" width="46.7109375" customWidth="1"/>
    <col min="4355" max="4355" width="18" customWidth="1"/>
    <col min="4356" max="4356" width="12.42578125" customWidth="1"/>
    <col min="4359" max="4360" width="15.7109375" customWidth="1"/>
    <col min="4361" max="4361" width="8.7109375" customWidth="1"/>
    <col min="4610" max="4610" width="46.7109375" customWidth="1"/>
    <col min="4611" max="4611" width="18" customWidth="1"/>
    <col min="4612" max="4612" width="12.42578125" customWidth="1"/>
    <col min="4615" max="4616" width="15.7109375" customWidth="1"/>
    <col min="4617" max="4617" width="8.7109375" customWidth="1"/>
    <col min="4866" max="4866" width="46.7109375" customWidth="1"/>
    <col min="4867" max="4867" width="18" customWidth="1"/>
    <col min="4868" max="4868" width="12.42578125" customWidth="1"/>
    <col min="4871" max="4872" width="15.7109375" customWidth="1"/>
    <col min="4873" max="4873" width="8.7109375" customWidth="1"/>
    <col min="5122" max="5122" width="46.7109375" customWidth="1"/>
    <col min="5123" max="5123" width="18" customWidth="1"/>
    <col min="5124" max="5124" width="12.42578125" customWidth="1"/>
    <col min="5127" max="5128" width="15.7109375" customWidth="1"/>
    <col min="5129" max="5129" width="8.7109375" customWidth="1"/>
    <col min="5378" max="5378" width="46.7109375" customWidth="1"/>
    <col min="5379" max="5379" width="18" customWidth="1"/>
    <col min="5380" max="5380" width="12.42578125" customWidth="1"/>
    <col min="5383" max="5384" width="15.7109375" customWidth="1"/>
    <col min="5385" max="5385" width="8.7109375" customWidth="1"/>
    <col min="5634" max="5634" width="46.7109375" customWidth="1"/>
    <col min="5635" max="5635" width="18" customWidth="1"/>
    <col min="5636" max="5636" width="12.42578125" customWidth="1"/>
    <col min="5639" max="5640" width="15.7109375" customWidth="1"/>
    <col min="5641" max="5641" width="8.7109375" customWidth="1"/>
    <col min="5890" max="5890" width="46.7109375" customWidth="1"/>
    <col min="5891" max="5891" width="18" customWidth="1"/>
    <col min="5892" max="5892" width="12.42578125" customWidth="1"/>
    <col min="5895" max="5896" width="15.7109375" customWidth="1"/>
    <col min="5897" max="5897" width="8.7109375" customWidth="1"/>
    <col min="6146" max="6146" width="46.7109375" customWidth="1"/>
    <col min="6147" max="6147" width="18" customWidth="1"/>
    <col min="6148" max="6148" width="12.42578125" customWidth="1"/>
    <col min="6151" max="6152" width="15.7109375" customWidth="1"/>
    <col min="6153" max="6153" width="8.7109375" customWidth="1"/>
    <col min="6402" max="6402" width="46.7109375" customWidth="1"/>
    <col min="6403" max="6403" width="18" customWidth="1"/>
    <col min="6404" max="6404" width="12.42578125" customWidth="1"/>
    <col min="6407" max="6408" width="15.7109375" customWidth="1"/>
    <col min="6409" max="6409" width="8.7109375" customWidth="1"/>
    <col min="6658" max="6658" width="46.7109375" customWidth="1"/>
    <col min="6659" max="6659" width="18" customWidth="1"/>
    <col min="6660" max="6660" width="12.42578125" customWidth="1"/>
    <col min="6663" max="6664" width="15.7109375" customWidth="1"/>
    <col min="6665" max="6665" width="8.7109375" customWidth="1"/>
    <col min="6914" max="6914" width="46.7109375" customWidth="1"/>
    <col min="6915" max="6915" width="18" customWidth="1"/>
    <col min="6916" max="6916" width="12.42578125" customWidth="1"/>
    <col min="6919" max="6920" width="15.7109375" customWidth="1"/>
    <col min="6921" max="6921" width="8.7109375" customWidth="1"/>
    <col min="7170" max="7170" width="46.7109375" customWidth="1"/>
    <col min="7171" max="7171" width="18" customWidth="1"/>
    <col min="7172" max="7172" width="12.42578125" customWidth="1"/>
    <col min="7175" max="7176" width="15.7109375" customWidth="1"/>
    <col min="7177" max="7177" width="8.7109375" customWidth="1"/>
    <col min="7426" max="7426" width="46.7109375" customWidth="1"/>
    <col min="7427" max="7427" width="18" customWidth="1"/>
    <col min="7428" max="7428" width="12.42578125" customWidth="1"/>
    <col min="7431" max="7432" width="15.7109375" customWidth="1"/>
    <col min="7433" max="7433" width="8.7109375" customWidth="1"/>
    <col min="7682" max="7682" width="46.7109375" customWidth="1"/>
    <col min="7683" max="7683" width="18" customWidth="1"/>
    <col min="7684" max="7684" width="12.42578125" customWidth="1"/>
    <col min="7687" max="7688" width="15.7109375" customWidth="1"/>
    <col min="7689" max="7689" width="8.7109375" customWidth="1"/>
    <col min="7938" max="7938" width="46.7109375" customWidth="1"/>
    <col min="7939" max="7939" width="18" customWidth="1"/>
    <col min="7940" max="7940" width="12.42578125" customWidth="1"/>
    <col min="7943" max="7944" width="15.7109375" customWidth="1"/>
    <col min="7945" max="7945" width="8.7109375" customWidth="1"/>
    <col min="8194" max="8194" width="46.7109375" customWidth="1"/>
    <col min="8195" max="8195" width="18" customWidth="1"/>
    <col min="8196" max="8196" width="12.42578125" customWidth="1"/>
    <col min="8199" max="8200" width="15.7109375" customWidth="1"/>
    <col min="8201" max="8201" width="8.7109375" customWidth="1"/>
    <col min="8450" max="8450" width="46.7109375" customWidth="1"/>
    <col min="8451" max="8451" width="18" customWidth="1"/>
    <col min="8452" max="8452" width="12.42578125" customWidth="1"/>
    <col min="8455" max="8456" width="15.7109375" customWidth="1"/>
    <col min="8457" max="8457" width="8.7109375" customWidth="1"/>
    <col min="8706" max="8706" width="46.7109375" customWidth="1"/>
    <col min="8707" max="8707" width="18" customWidth="1"/>
    <col min="8708" max="8708" width="12.42578125" customWidth="1"/>
    <col min="8711" max="8712" width="15.7109375" customWidth="1"/>
    <col min="8713" max="8713" width="8.7109375" customWidth="1"/>
    <col min="8962" max="8962" width="46.7109375" customWidth="1"/>
    <col min="8963" max="8963" width="18" customWidth="1"/>
    <col min="8964" max="8964" width="12.42578125" customWidth="1"/>
    <col min="8967" max="8968" width="15.7109375" customWidth="1"/>
    <col min="8969" max="8969" width="8.7109375" customWidth="1"/>
    <col min="9218" max="9218" width="46.7109375" customWidth="1"/>
    <col min="9219" max="9219" width="18" customWidth="1"/>
    <col min="9220" max="9220" width="12.42578125" customWidth="1"/>
    <col min="9223" max="9224" width="15.7109375" customWidth="1"/>
    <col min="9225" max="9225" width="8.7109375" customWidth="1"/>
    <col min="9474" max="9474" width="46.7109375" customWidth="1"/>
    <col min="9475" max="9475" width="18" customWidth="1"/>
    <col min="9476" max="9476" width="12.42578125" customWidth="1"/>
    <col min="9479" max="9480" width="15.7109375" customWidth="1"/>
    <col min="9481" max="9481" width="8.7109375" customWidth="1"/>
    <col min="9730" max="9730" width="46.7109375" customWidth="1"/>
    <col min="9731" max="9731" width="18" customWidth="1"/>
    <col min="9732" max="9732" width="12.42578125" customWidth="1"/>
    <col min="9735" max="9736" width="15.7109375" customWidth="1"/>
    <col min="9737" max="9737" width="8.7109375" customWidth="1"/>
    <col min="9986" max="9986" width="46.7109375" customWidth="1"/>
    <col min="9987" max="9987" width="18" customWidth="1"/>
    <col min="9988" max="9988" width="12.42578125" customWidth="1"/>
    <col min="9991" max="9992" width="15.7109375" customWidth="1"/>
    <col min="9993" max="9993" width="8.7109375" customWidth="1"/>
    <col min="10242" max="10242" width="46.7109375" customWidth="1"/>
    <col min="10243" max="10243" width="18" customWidth="1"/>
    <col min="10244" max="10244" width="12.42578125" customWidth="1"/>
    <col min="10247" max="10248" width="15.7109375" customWidth="1"/>
    <col min="10249" max="10249" width="8.7109375" customWidth="1"/>
    <col min="10498" max="10498" width="46.7109375" customWidth="1"/>
    <col min="10499" max="10499" width="18" customWidth="1"/>
    <col min="10500" max="10500" width="12.42578125" customWidth="1"/>
    <col min="10503" max="10504" width="15.7109375" customWidth="1"/>
    <col min="10505" max="10505" width="8.7109375" customWidth="1"/>
    <col min="10754" max="10754" width="46.7109375" customWidth="1"/>
    <col min="10755" max="10755" width="18" customWidth="1"/>
    <col min="10756" max="10756" width="12.42578125" customWidth="1"/>
    <col min="10759" max="10760" width="15.7109375" customWidth="1"/>
    <col min="10761" max="10761" width="8.7109375" customWidth="1"/>
    <col min="11010" max="11010" width="46.7109375" customWidth="1"/>
    <col min="11011" max="11011" width="18" customWidth="1"/>
    <col min="11012" max="11012" width="12.42578125" customWidth="1"/>
    <col min="11015" max="11016" width="15.7109375" customWidth="1"/>
    <col min="11017" max="11017" width="8.7109375" customWidth="1"/>
    <col min="11266" max="11266" width="46.7109375" customWidth="1"/>
    <col min="11267" max="11267" width="18" customWidth="1"/>
    <col min="11268" max="11268" width="12.42578125" customWidth="1"/>
    <col min="11271" max="11272" width="15.7109375" customWidth="1"/>
    <col min="11273" max="11273" width="8.7109375" customWidth="1"/>
    <col min="11522" max="11522" width="46.7109375" customWidth="1"/>
    <col min="11523" max="11523" width="18" customWidth="1"/>
    <col min="11524" max="11524" width="12.42578125" customWidth="1"/>
    <col min="11527" max="11528" width="15.7109375" customWidth="1"/>
    <col min="11529" max="11529" width="8.7109375" customWidth="1"/>
    <col min="11778" max="11778" width="46.7109375" customWidth="1"/>
    <col min="11779" max="11779" width="18" customWidth="1"/>
    <col min="11780" max="11780" width="12.42578125" customWidth="1"/>
    <col min="11783" max="11784" width="15.7109375" customWidth="1"/>
    <col min="11785" max="11785" width="8.7109375" customWidth="1"/>
    <col min="12034" max="12034" width="46.7109375" customWidth="1"/>
    <col min="12035" max="12035" width="18" customWidth="1"/>
    <col min="12036" max="12036" width="12.42578125" customWidth="1"/>
    <col min="12039" max="12040" width="15.7109375" customWidth="1"/>
    <col min="12041" max="12041" width="8.7109375" customWidth="1"/>
    <col min="12290" max="12290" width="46.7109375" customWidth="1"/>
    <col min="12291" max="12291" width="18" customWidth="1"/>
    <col min="12292" max="12292" width="12.42578125" customWidth="1"/>
    <col min="12295" max="12296" width="15.7109375" customWidth="1"/>
    <col min="12297" max="12297" width="8.7109375" customWidth="1"/>
    <col min="12546" max="12546" width="46.7109375" customWidth="1"/>
    <col min="12547" max="12547" width="18" customWidth="1"/>
    <col min="12548" max="12548" width="12.42578125" customWidth="1"/>
    <col min="12551" max="12552" width="15.7109375" customWidth="1"/>
    <col min="12553" max="12553" width="8.7109375" customWidth="1"/>
    <col min="12802" max="12802" width="46.7109375" customWidth="1"/>
    <col min="12803" max="12803" width="18" customWidth="1"/>
    <col min="12804" max="12804" width="12.42578125" customWidth="1"/>
    <col min="12807" max="12808" width="15.7109375" customWidth="1"/>
    <col min="12809" max="12809" width="8.7109375" customWidth="1"/>
    <col min="13058" max="13058" width="46.7109375" customWidth="1"/>
    <col min="13059" max="13059" width="18" customWidth="1"/>
    <col min="13060" max="13060" width="12.42578125" customWidth="1"/>
    <col min="13063" max="13064" width="15.7109375" customWidth="1"/>
    <col min="13065" max="13065" width="8.7109375" customWidth="1"/>
    <col min="13314" max="13314" width="46.7109375" customWidth="1"/>
    <col min="13315" max="13315" width="18" customWidth="1"/>
    <col min="13316" max="13316" width="12.42578125" customWidth="1"/>
    <col min="13319" max="13320" width="15.7109375" customWidth="1"/>
    <col min="13321" max="13321" width="8.7109375" customWidth="1"/>
    <col min="13570" max="13570" width="46.7109375" customWidth="1"/>
    <col min="13571" max="13571" width="18" customWidth="1"/>
    <col min="13572" max="13572" width="12.42578125" customWidth="1"/>
    <col min="13575" max="13576" width="15.7109375" customWidth="1"/>
    <col min="13577" max="13577" width="8.7109375" customWidth="1"/>
    <col min="13826" max="13826" width="46.7109375" customWidth="1"/>
    <col min="13827" max="13827" width="18" customWidth="1"/>
    <col min="13828" max="13828" width="12.42578125" customWidth="1"/>
    <col min="13831" max="13832" width="15.7109375" customWidth="1"/>
    <col min="13833" max="13833" width="8.7109375" customWidth="1"/>
    <col min="14082" max="14082" width="46.7109375" customWidth="1"/>
    <col min="14083" max="14083" width="18" customWidth="1"/>
    <col min="14084" max="14084" width="12.42578125" customWidth="1"/>
    <col min="14087" max="14088" width="15.7109375" customWidth="1"/>
    <col min="14089" max="14089" width="8.7109375" customWidth="1"/>
    <col min="14338" max="14338" width="46.7109375" customWidth="1"/>
    <col min="14339" max="14339" width="18" customWidth="1"/>
    <col min="14340" max="14340" width="12.42578125" customWidth="1"/>
    <col min="14343" max="14344" width="15.7109375" customWidth="1"/>
    <col min="14345" max="14345" width="8.7109375" customWidth="1"/>
    <col min="14594" max="14594" width="46.7109375" customWidth="1"/>
    <col min="14595" max="14595" width="18" customWidth="1"/>
    <col min="14596" max="14596" width="12.42578125" customWidth="1"/>
    <col min="14599" max="14600" width="15.7109375" customWidth="1"/>
    <col min="14601" max="14601" width="8.7109375" customWidth="1"/>
    <col min="14850" max="14850" width="46.7109375" customWidth="1"/>
    <col min="14851" max="14851" width="18" customWidth="1"/>
    <col min="14852" max="14852" width="12.42578125" customWidth="1"/>
    <col min="14855" max="14856" width="15.7109375" customWidth="1"/>
    <col min="14857" max="14857" width="8.7109375" customWidth="1"/>
    <col min="15106" max="15106" width="46.7109375" customWidth="1"/>
    <col min="15107" max="15107" width="18" customWidth="1"/>
    <col min="15108" max="15108" width="12.42578125" customWidth="1"/>
    <col min="15111" max="15112" width="15.7109375" customWidth="1"/>
    <col min="15113" max="15113" width="8.7109375" customWidth="1"/>
    <col min="15362" max="15362" width="46.7109375" customWidth="1"/>
    <col min="15363" max="15363" width="18" customWidth="1"/>
    <col min="15364" max="15364" width="12.42578125" customWidth="1"/>
    <col min="15367" max="15368" width="15.7109375" customWidth="1"/>
    <col min="15369" max="15369" width="8.7109375" customWidth="1"/>
    <col min="15618" max="15618" width="46.7109375" customWidth="1"/>
    <col min="15619" max="15619" width="18" customWidth="1"/>
    <col min="15620" max="15620" width="12.42578125" customWidth="1"/>
    <col min="15623" max="15624" width="15.7109375" customWidth="1"/>
    <col min="15625" max="15625" width="8.7109375" customWidth="1"/>
    <col min="15874" max="15874" width="46.7109375" customWidth="1"/>
    <col min="15875" max="15875" width="18" customWidth="1"/>
    <col min="15876" max="15876" width="12.42578125" customWidth="1"/>
    <col min="15879" max="15880" width="15.7109375" customWidth="1"/>
    <col min="15881" max="15881" width="8.7109375" customWidth="1"/>
    <col min="16130" max="16130" width="46.7109375" customWidth="1"/>
    <col min="16131" max="16131" width="18" customWidth="1"/>
    <col min="16132" max="16132" width="12.42578125" customWidth="1"/>
    <col min="16135" max="16136" width="15.7109375" customWidth="1"/>
    <col min="16137" max="16137" width="8.7109375" customWidth="1"/>
  </cols>
  <sheetData>
    <row r="1" spans="1:8" ht="15" customHeight="1" x14ac:dyDescent="0.2">
      <c r="A1" s="33" t="s">
        <v>761</v>
      </c>
      <c r="C1" s="33"/>
    </row>
    <row r="2" spans="1:8" ht="15" customHeight="1" x14ac:dyDescent="0.2">
      <c r="A2" s="33"/>
      <c r="B2" s="533">
        <f>Rashodi!J9</f>
        <v>580000</v>
      </c>
      <c r="C2" s="534">
        <f>B2/D2*100</f>
        <v>0.85049388032993889</v>
      </c>
      <c r="D2" s="533">
        <f>Prihodi!F256-Prihodi!F49-Prihodi!F53-Prihodi!F59-Prihodi!F60-Prihodi!F66-Prihodi!F90-Prihodi!F95-Prihodi!F98-Prihodi!F111-Prihodi!F125-Prihodi!F130-Prihodi!F132-Prihodi!F145-Prihodi!F148-Prihodi!F194-Prihodi!F195-Prihodi!F212</f>
        <v>68195670</v>
      </c>
      <c r="G2" s="49"/>
    </row>
    <row r="3" spans="1:8" ht="17.25" customHeight="1" x14ac:dyDescent="0.2">
      <c r="A3" s="622" t="str">
        <f>CONCATENATE("     U tekuću pričuvu Vlade izdvojit će se ",TEXT(C2,"#.##0,00"),"% prihoda bez namjenskih prihoda, vlastitih prihoda i primitaka Proračuna.")</f>
        <v xml:space="preserve">     U tekuću pričuvu Vlade izdvojit će se 0,85% prihoda bez namjenskih prihoda, vlastitih prihoda i primitaka Proračuna.</v>
      </c>
      <c r="B3" s="687"/>
      <c r="C3" s="687"/>
      <c r="D3" s="599"/>
      <c r="E3" s="599"/>
      <c r="F3" s="599"/>
      <c r="G3" s="599"/>
      <c r="H3" s="599"/>
    </row>
    <row r="4" spans="1:8" ht="15" customHeight="1" x14ac:dyDescent="0.2">
      <c r="G4" s="38"/>
      <c r="H4" s="38"/>
    </row>
    <row r="5" spans="1:8" ht="15" customHeight="1" x14ac:dyDescent="0.2">
      <c r="A5" s="33" t="s">
        <v>762</v>
      </c>
      <c r="C5" s="33"/>
      <c r="G5" s="247" t="s">
        <v>763</v>
      </c>
    </row>
    <row r="6" spans="1:8" ht="6.75" customHeight="1" x14ac:dyDescent="0.2">
      <c r="A6" s="33"/>
      <c r="C6" s="33"/>
      <c r="E6" s="96"/>
    </row>
    <row r="7" spans="1:8" ht="15" customHeight="1" x14ac:dyDescent="0.2">
      <c r="A7" s="619" t="s">
        <v>819</v>
      </c>
      <c r="B7" s="629"/>
      <c r="C7" s="629"/>
      <c r="D7" s="599"/>
      <c r="E7" s="599"/>
      <c r="F7" s="599"/>
      <c r="G7" s="599"/>
      <c r="H7" s="599"/>
    </row>
    <row r="8" spans="1:8" ht="15" customHeight="1" x14ac:dyDescent="0.2">
      <c r="A8" s="629"/>
      <c r="B8" s="629"/>
      <c r="C8" s="629"/>
      <c r="D8" s="599"/>
      <c r="E8" s="599"/>
      <c r="F8" s="599"/>
      <c r="G8" s="599"/>
      <c r="H8" s="599"/>
    </row>
    <row r="13" spans="1:8" ht="15" customHeight="1" x14ac:dyDescent="0.2">
      <c r="A13" t="s">
        <v>764</v>
      </c>
    </row>
    <row r="14" spans="1:8" ht="15" customHeight="1" x14ac:dyDescent="0.2">
      <c r="A14" t="s">
        <v>765</v>
      </c>
    </row>
    <row r="15" spans="1:8" ht="15" customHeight="1" x14ac:dyDescent="0.2">
      <c r="A15" t="s">
        <v>766</v>
      </c>
    </row>
    <row r="16" spans="1:8" ht="15" customHeight="1" x14ac:dyDescent="0.2">
      <c r="A16" t="s">
        <v>767</v>
      </c>
    </row>
    <row r="17" spans="1:8" ht="15" customHeight="1" x14ac:dyDescent="0.2">
      <c r="A17" s="247" t="s">
        <v>820</v>
      </c>
    </row>
    <row r="18" spans="1:8" ht="15" customHeight="1" x14ac:dyDescent="0.2">
      <c r="A18" s="247" t="s">
        <v>821</v>
      </c>
    </row>
    <row r="19" spans="1:8" ht="15" customHeight="1" x14ac:dyDescent="0.2">
      <c r="G19" s="688" t="s">
        <v>768</v>
      </c>
      <c r="H19" s="599"/>
    </row>
    <row r="20" spans="1:8" ht="15" customHeight="1" x14ac:dyDescent="0.2">
      <c r="G20" s="599"/>
      <c r="H20" s="599"/>
    </row>
    <row r="21" spans="1:8" ht="15" customHeight="1" x14ac:dyDescent="0.2">
      <c r="G21" s="688" t="s">
        <v>769</v>
      </c>
      <c r="H21" s="599"/>
    </row>
    <row r="24" spans="1:8" ht="15" customHeight="1" x14ac:dyDescent="0.2">
      <c r="C24" s="34"/>
    </row>
    <row r="27" spans="1:8" ht="15" customHeight="1" x14ac:dyDescent="0.2">
      <c r="C27" s="34"/>
    </row>
    <row r="37" ht="12.75" x14ac:dyDescent="0.2"/>
  </sheetData>
  <mergeCells count="5">
    <mergeCell ref="A3:H3"/>
    <mergeCell ref="A7:H8"/>
    <mergeCell ref="G19:H19"/>
    <mergeCell ref="G21:H21"/>
    <mergeCell ref="G20:H20"/>
  </mergeCells>
  <phoneticPr fontId="0" type="noConversion"/>
  <pageMargins left="0.9055118110236221" right="0.31496062992125984" top="0.35433070866141736" bottom="0.51181102362204722" header="0.39370078740157483" footer="0.31496062992125984"/>
  <pageSetup paperSize="9" scale="88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4"/>
  <dimension ref="A2:N259"/>
  <sheetViews>
    <sheetView topLeftCell="B1" zoomScaleNormal="100" workbookViewId="0">
      <selection activeCell="F26" sqref="F26"/>
    </sheetView>
  </sheetViews>
  <sheetFormatPr defaultRowHeight="14.25" x14ac:dyDescent="0.2"/>
  <cols>
    <col min="1" max="1" width="0.42578125" hidden="1" customWidth="1"/>
    <col min="2" max="2" width="13.28515625" style="34" customWidth="1"/>
    <col min="3" max="3" width="66" customWidth="1"/>
    <col min="4" max="5" width="17.7109375" customWidth="1"/>
    <col min="6" max="6" width="22.140625" style="177" customWidth="1"/>
    <col min="7" max="7" width="9" customWidth="1"/>
    <col min="8" max="8" width="11" customWidth="1"/>
    <col min="9" max="9" width="17.28515625" style="586" customWidth="1"/>
    <col min="10" max="10" width="19.85546875" customWidth="1"/>
    <col min="11" max="11" width="16.42578125" customWidth="1"/>
    <col min="12" max="12" width="16.42578125" bestFit="1" customWidth="1"/>
  </cols>
  <sheetData>
    <row r="2" spans="2:12" ht="18.75" customHeight="1" thickBot="1" x14ac:dyDescent="0.3">
      <c r="B2" s="627" t="s">
        <v>97</v>
      </c>
      <c r="C2" s="627"/>
      <c r="D2" s="627"/>
      <c r="E2" s="627"/>
      <c r="F2" s="628"/>
      <c r="G2" s="628"/>
    </row>
    <row r="3" spans="2:12" ht="76.5" customHeight="1" x14ac:dyDescent="0.2">
      <c r="B3" s="328" t="s">
        <v>98</v>
      </c>
      <c r="C3" s="329" t="s">
        <v>99</v>
      </c>
      <c r="D3" s="573" t="s">
        <v>886</v>
      </c>
      <c r="E3" s="497" t="s">
        <v>811</v>
      </c>
      <c r="F3" s="176" t="s">
        <v>812</v>
      </c>
      <c r="G3" s="522" t="s">
        <v>65</v>
      </c>
      <c r="H3" s="108"/>
      <c r="J3" s="247"/>
      <c r="K3" s="247"/>
      <c r="L3" s="247"/>
    </row>
    <row r="4" spans="2:12" ht="12.75" customHeight="1" x14ac:dyDescent="0.2">
      <c r="B4" s="330">
        <v>1</v>
      </c>
      <c r="C4" s="331">
        <v>2</v>
      </c>
      <c r="D4" s="498">
        <v>3</v>
      </c>
      <c r="E4" s="498">
        <v>4</v>
      </c>
      <c r="F4" s="326">
        <v>5</v>
      </c>
      <c r="G4" s="499" t="s">
        <v>100</v>
      </c>
    </row>
    <row r="5" spans="2:12" s="31" customFormat="1" ht="17.25" customHeight="1" x14ac:dyDescent="0.25">
      <c r="B5" s="396">
        <v>710000</v>
      </c>
      <c r="C5" s="397" t="s">
        <v>101</v>
      </c>
      <c r="D5" s="398">
        <f>D6+D16+D20+D28+D38+D47+D56</f>
        <v>56961162</v>
      </c>
      <c r="E5" s="398">
        <f>E6+E16+E20+E28+E38+E47+E56</f>
        <v>56961162</v>
      </c>
      <c r="F5" s="399">
        <f>F6+F16+F20+F28+F38+F47+F56</f>
        <v>60755330</v>
      </c>
      <c r="G5" s="523">
        <f t="shared" ref="G5:G68" si="0">IF(E5=0,"",F5/E5*100)</f>
        <v>106.66097366482799</v>
      </c>
      <c r="H5" s="109"/>
      <c r="I5" s="587"/>
      <c r="J5" s="594"/>
    </row>
    <row r="6" spans="2:12" s="66" customFormat="1" ht="17.100000000000001" customHeight="1" x14ac:dyDescent="0.2">
      <c r="B6" s="396">
        <v>711000</v>
      </c>
      <c r="C6" s="400" t="s">
        <v>102</v>
      </c>
      <c r="D6" s="401">
        <f>D7+D13</f>
        <v>6195690</v>
      </c>
      <c r="E6" s="401">
        <f>E7+E13</f>
        <v>6195690</v>
      </c>
      <c r="F6" s="402">
        <f>F7+F13</f>
        <v>6438350</v>
      </c>
      <c r="G6" s="524">
        <f t="shared" si="0"/>
        <v>103.91659363202483</v>
      </c>
      <c r="H6" s="110"/>
      <c r="I6" s="585"/>
      <c r="J6" s="111"/>
      <c r="K6" s="111"/>
    </row>
    <row r="7" spans="2:12" s="66" customFormat="1" ht="15" customHeight="1" x14ac:dyDescent="0.2">
      <c r="B7" s="403">
        <v>711100</v>
      </c>
      <c r="C7" s="404" t="s">
        <v>103</v>
      </c>
      <c r="D7" s="405">
        <f>SUM(D8:D12)</f>
        <v>2420</v>
      </c>
      <c r="E7" s="405">
        <f>SUM(E8:E12)</f>
        <v>2420</v>
      </c>
      <c r="F7" s="406">
        <f>SUM(F8:F12)</f>
        <v>2300</v>
      </c>
      <c r="G7" s="525">
        <f t="shared" si="0"/>
        <v>95.041322314049594</v>
      </c>
      <c r="H7" s="110"/>
      <c r="I7" s="585"/>
    </row>
    <row r="8" spans="2:12" ht="15" customHeight="1" x14ac:dyDescent="0.2">
      <c r="B8" s="407">
        <v>711111</v>
      </c>
      <c r="C8" s="408" t="s">
        <v>104</v>
      </c>
      <c r="D8" s="409">
        <v>2350</v>
      </c>
      <c r="E8" s="409">
        <v>2350</v>
      </c>
      <c r="F8" s="410">
        <v>2260</v>
      </c>
      <c r="G8" s="526">
        <f t="shared" si="0"/>
        <v>96.170212765957444</v>
      </c>
      <c r="H8" s="110"/>
      <c r="J8" s="49"/>
    </row>
    <row r="9" spans="2:12" ht="15" customHeight="1" x14ac:dyDescent="0.2">
      <c r="B9" s="407">
        <v>711112</v>
      </c>
      <c r="C9" s="408" t="s">
        <v>105</v>
      </c>
      <c r="D9" s="409">
        <v>0</v>
      </c>
      <c r="E9" s="409">
        <v>0</v>
      </c>
      <c r="F9" s="410">
        <v>0</v>
      </c>
      <c r="G9" s="526" t="str">
        <f t="shared" si="0"/>
        <v/>
      </c>
      <c r="H9" s="110"/>
      <c r="J9" s="49"/>
    </row>
    <row r="10" spans="2:12" ht="15" customHeight="1" x14ac:dyDescent="0.2">
      <c r="B10" s="407">
        <v>711113</v>
      </c>
      <c r="C10" s="408" t="s">
        <v>106</v>
      </c>
      <c r="D10" s="409">
        <v>0</v>
      </c>
      <c r="E10" s="409">
        <v>0</v>
      </c>
      <c r="F10" s="410">
        <v>0</v>
      </c>
      <c r="G10" s="526" t="str">
        <f t="shared" si="0"/>
        <v/>
      </c>
      <c r="H10" s="110"/>
      <c r="J10" s="49"/>
    </row>
    <row r="11" spans="2:12" ht="15" customHeight="1" x14ac:dyDescent="0.2">
      <c r="B11" s="407">
        <v>711114</v>
      </c>
      <c r="C11" s="408" t="s">
        <v>107</v>
      </c>
      <c r="D11" s="409">
        <v>20</v>
      </c>
      <c r="E11" s="409">
        <v>20</v>
      </c>
      <c r="F11" s="410">
        <v>20</v>
      </c>
      <c r="G11" s="526">
        <f t="shared" si="0"/>
        <v>100</v>
      </c>
      <c r="H11" s="110"/>
      <c r="J11" s="49"/>
      <c r="K11" s="332"/>
    </row>
    <row r="12" spans="2:12" ht="15" customHeight="1" x14ac:dyDescent="0.2">
      <c r="B12" s="407">
        <v>711115</v>
      </c>
      <c r="C12" s="408" t="s">
        <v>108</v>
      </c>
      <c r="D12" s="409">
        <v>50</v>
      </c>
      <c r="E12" s="409">
        <v>50</v>
      </c>
      <c r="F12" s="410">
        <v>20</v>
      </c>
      <c r="G12" s="526">
        <f t="shared" si="0"/>
        <v>40</v>
      </c>
      <c r="H12" s="110"/>
      <c r="J12" s="49"/>
    </row>
    <row r="13" spans="2:12" s="66" customFormat="1" ht="15" customHeight="1" x14ac:dyDescent="0.2">
      <c r="B13" s="403">
        <v>711200</v>
      </c>
      <c r="C13" s="404" t="s">
        <v>109</v>
      </c>
      <c r="D13" s="405">
        <f>SUM(D14:D15)</f>
        <v>6193270</v>
      </c>
      <c r="E13" s="405">
        <f>SUM(E14:E15)</f>
        <v>6193270</v>
      </c>
      <c r="F13" s="406">
        <f>SUM(F14:F15)</f>
        <v>6436050</v>
      </c>
      <c r="G13" s="525">
        <f t="shared" si="0"/>
        <v>103.92006161526947</v>
      </c>
      <c r="H13" s="110"/>
      <c r="I13" s="585"/>
      <c r="J13" s="49"/>
      <c r="L13"/>
    </row>
    <row r="14" spans="2:12" ht="15" customHeight="1" x14ac:dyDescent="0.2">
      <c r="B14" s="407">
        <v>711211</v>
      </c>
      <c r="C14" s="408" t="s">
        <v>110</v>
      </c>
      <c r="D14" s="409">
        <v>6045100</v>
      </c>
      <c r="E14" s="409">
        <v>6045100</v>
      </c>
      <c r="F14" s="410">
        <f>6436050-151960</f>
        <v>6284090</v>
      </c>
      <c r="G14" s="526">
        <f t="shared" si="0"/>
        <v>103.95344990157318</v>
      </c>
      <c r="H14" s="110"/>
      <c r="J14" s="332"/>
      <c r="K14" s="333"/>
    </row>
    <row r="15" spans="2:12" ht="15" customHeight="1" x14ac:dyDescent="0.2">
      <c r="B15" s="407">
        <v>711212</v>
      </c>
      <c r="C15" s="408" t="s">
        <v>111</v>
      </c>
      <c r="D15" s="409">
        <v>148170</v>
      </c>
      <c r="E15" s="409">
        <v>148170</v>
      </c>
      <c r="F15" s="410">
        <v>151960</v>
      </c>
      <c r="G15" s="526">
        <f t="shared" si="0"/>
        <v>102.55787271377473</v>
      </c>
      <c r="H15" s="110"/>
      <c r="J15" s="332"/>
      <c r="K15" s="333"/>
    </row>
    <row r="16" spans="2:12" s="66" customFormat="1" ht="17.100000000000001" customHeight="1" x14ac:dyDescent="0.2">
      <c r="B16" s="396">
        <v>713000</v>
      </c>
      <c r="C16" s="397" t="s">
        <v>112</v>
      </c>
      <c r="D16" s="401">
        <f>D17</f>
        <v>640</v>
      </c>
      <c r="E16" s="401">
        <f>E17</f>
        <v>640</v>
      </c>
      <c r="F16" s="402">
        <f>F17</f>
        <v>580</v>
      </c>
      <c r="G16" s="524">
        <f t="shared" si="0"/>
        <v>90.625</v>
      </c>
      <c r="H16" s="110"/>
      <c r="I16" s="585"/>
      <c r="J16" s="49"/>
      <c r="L16"/>
    </row>
    <row r="17" spans="2:12" s="66" customFormat="1" ht="15" customHeight="1" x14ac:dyDescent="0.2">
      <c r="B17" s="403">
        <v>713100</v>
      </c>
      <c r="C17" s="411" t="s">
        <v>113</v>
      </c>
      <c r="D17" s="405">
        <f>SUM(D18:D19)</f>
        <v>640</v>
      </c>
      <c r="E17" s="405">
        <f>SUM(E18:E19)</f>
        <v>640</v>
      </c>
      <c r="F17" s="406">
        <f>SUM(F18:F19)</f>
        <v>580</v>
      </c>
      <c r="G17" s="525">
        <f t="shared" si="0"/>
        <v>90.625</v>
      </c>
      <c r="H17" s="110"/>
      <c r="I17" s="585"/>
      <c r="J17" s="49"/>
      <c r="L17"/>
    </row>
    <row r="18" spans="2:12" ht="15" customHeight="1" x14ac:dyDescent="0.2">
      <c r="B18" s="407">
        <v>713111</v>
      </c>
      <c r="C18" s="408" t="s">
        <v>114</v>
      </c>
      <c r="D18" s="409">
        <v>640</v>
      </c>
      <c r="E18" s="409">
        <v>640</v>
      </c>
      <c r="F18" s="410">
        <v>580</v>
      </c>
      <c r="G18" s="526">
        <f t="shared" si="0"/>
        <v>90.625</v>
      </c>
      <c r="H18" s="49"/>
      <c r="J18" s="49"/>
    </row>
    <row r="19" spans="2:12" ht="15" customHeight="1" x14ac:dyDescent="0.2">
      <c r="B19" s="407">
        <v>713113</v>
      </c>
      <c r="C19" s="408" t="s">
        <v>115</v>
      </c>
      <c r="D19" s="409">
        <v>0</v>
      </c>
      <c r="E19" s="409">
        <v>0</v>
      </c>
      <c r="F19" s="410">
        <v>0</v>
      </c>
      <c r="G19" s="526" t="str">
        <f t="shared" si="0"/>
        <v/>
      </c>
      <c r="H19" s="49"/>
      <c r="J19" s="49"/>
    </row>
    <row r="20" spans="2:12" s="66" customFormat="1" ht="17.100000000000001" customHeight="1" x14ac:dyDescent="0.2">
      <c r="B20" s="396">
        <v>714000</v>
      </c>
      <c r="C20" s="397" t="s">
        <v>116</v>
      </c>
      <c r="D20" s="401">
        <f>D21</f>
        <v>329770</v>
      </c>
      <c r="E20" s="401">
        <f>E21</f>
        <v>329770</v>
      </c>
      <c r="F20" s="402">
        <f>F21</f>
        <v>286360</v>
      </c>
      <c r="G20" s="524">
        <f t="shared" si="0"/>
        <v>86.836279831397647</v>
      </c>
      <c r="H20" s="110"/>
      <c r="I20" s="585"/>
      <c r="J20" s="49"/>
      <c r="L20"/>
    </row>
    <row r="21" spans="2:12" s="66" customFormat="1" ht="15" customHeight="1" x14ac:dyDescent="0.2">
      <c r="B21" s="403">
        <v>714100</v>
      </c>
      <c r="C21" s="411" t="s">
        <v>117</v>
      </c>
      <c r="D21" s="405">
        <f>SUM(D22:D27)</f>
        <v>329770</v>
      </c>
      <c r="E21" s="405">
        <f>SUM(E22:E27)</f>
        <v>329770</v>
      </c>
      <c r="F21" s="406">
        <f>SUM(F22:F27)</f>
        <v>286360</v>
      </c>
      <c r="G21" s="525">
        <f t="shared" si="0"/>
        <v>86.836279831397647</v>
      </c>
      <c r="H21" s="110"/>
      <c r="I21" s="585"/>
      <c r="J21" s="49"/>
      <c r="L21"/>
    </row>
    <row r="22" spans="2:12" ht="15" customHeight="1" x14ac:dyDescent="0.2">
      <c r="B22" s="407">
        <v>714111</v>
      </c>
      <c r="C22" s="408" t="s">
        <v>118</v>
      </c>
      <c r="D22" s="409">
        <v>43220</v>
      </c>
      <c r="E22" s="409">
        <v>43220</v>
      </c>
      <c r="F22" s="410">
        <v>38350</v>
      </c>
      <c r="G22" s="526">
        <f t="shared" si="0"/>
        <v>88.73206848681167</v>
      </c>
      <c r="H22" s="550"/>
      <c r="J22" s="49"/>
    </row>
    <row r="23" spans="2:12" ht="15" customHeight="1" x14ac:dyDescent="0.2">
      <c r="B23" s="407">
        <v>714112</v>
      </c>
      <c r="C23" s="408" t="s">
        <v>119</v>
      </c>
      <c r="D23" s="409">
        <v>13920</v>
      </c>
      <c r="E23" s="409">
        <v>13920</v>
      </c>
      <c r="F23" s="410">
        <v>10100</v>
      </c>
      <c r="G23" s="526">
        <f t="shared" si="0"/>
        <v>72.557471264367805</v>
      </c>
      <c r="H23" s="49"/>
      <c r="J23" s="49"/>
    </row>
    <row r="24" spans="2:12" ht="15" customHeight="1" x14ac:dyDescent="0.2">
      <c r="B24" s="407">
        <v>714113</v>
      </c>
      <c r="C24" s="408" t="s">
        <v>120</v>
      </c>
      <c r="D24" s="409">
        <v>8850</v>
      </c>
      <c r="E24" s="409">
        <v>8850</v>
      </c>
      <c r="F24" s="410">
        <v>8680</v>
      </c>
      <c r="G24" s="526">
        <f t="shared" si="0"/>
        <v>98.079096045197744</v>
      </c>
      <c r="H24" s="49"/>
      <c r="J24" s="49"/>
    </row>
    <row r="25" spans="2:12" ht="15" customHeight="1" x14ac:dyDescent="0.2">
      <c r="B25" s="407">
        <v>714121</v>
      </c>
      <c r="C25" s="408" t="s">
        <v>121</v>
      </c>
      <c r="D25" s="409">
        <v>18820</v>
      </c>
      <c r="E25" s="409">
        <v>18820</v>
      </c>
      <c r="F25" s="410">
        <v>18210</v>
      </c>
      <c r="G25" s="526">
        <f t="shared" si="0"/>
        <v>96.758767268862911</v>
      </c>
      <c r="H25" s="49"/>
      <c r="J25" s="49"/>
    </row>
    <row r="26" spans="2:12" ht="15" customHeight="1" x14ac:dyDescent="0.2">
      <c r="B26" s="407">
        <v>714131</v>
      </c>
      <c r="C26" s="408" t="s">
        <v>122</v>
      </c>
      <c r="D26" s="409">
        <v>181230</v>
      </c>
      <c r="E26" s="409">
        <v>181230</v>
      </c>
      <c r="F26" s="410">
        <v>160160</v>
      </c>
      <c r="G26" s="526">
        <f t="shared" si="0"/>
        <v>88.373889532638088</v>
      </c>
      <c r="H26" s="49"/>
      <c r="J26" s="49"/>
    </row>
    <row r="27" spans="2:12" ht="15" customHeight="1" x14ac:dyDescent="0.2">
      <c r="B27" s="407">
        <v>714132</v>
      </c>
      <c r="C27" s="408" t="s">
        <v>123</v>
      </c>
      <c r="D27" s="409">
        <v>63730</v>
      </c>
      <c r="E27" s="409">
        <v>63730</v>
      </c>
      <c r="F27" s="410">
        <v>50860</v>
      </c>
      <c r="G27" s="526">
        <f t="shared" si="0"/>
        <v>79.805429154244464</v>
      </c>
      <c r="H27" s="49"/>
      <c r="J27" s="49"/>
    </row>
    <row r="28" spans="2:12" s="66" customFormat="1" ht="25.5" customHeight="1" x14ac:dyDescent="0.2">
      <c r="B28" s="396">
        <v>715000</v>
      </c>
      <c r="C28" s="400" t="s">
        <v>124</v>
      </c>
      <c r="D28" s="401">
        <f>D29+D34+D36</f>
        <v>5500</v>
      </c>
      <c r="E28" s="401">
        <f>E29+E34+E36</f>
        <v>5500</v>
      </c>
      <c r="F28" s="402">
        <f>F29+F34+F36</f>
        <v>5330</v>
      </c>
      <c r="G28" s="524">
        <f t="shared" si="0"/>
        <v>96.909090909090907</v>
      </c>
      <c r="H28" s="110"/>
      <c r="I28" s="585"/>
      <c r="J28" s="49"/>
      <c r="L28"/>
    </row>
    <row r="29" spans="2:12" s="66" customFormat="1" ht="26.25" customHeight="1" x14ac:dyDescent="0.2">
      <c r="B29" s="403">
        <v>715100</v>
      </c>
      <c r="C29" s="412" t="s">
        <v>125</v>
      </c>
      <c r="D29" s="405">
        <f>SUM(D30:D33)</f>
        <v>5500</v>
      </c>
      <c r="E29" s="405">
        <f>SUM(E30:E33)</f>
        <v>5500</v>
      </c>
      <c r="F29" s="406">
        <f>SUM(F30:F33)</f>
        <v>5330</v>
      </c>
      <c r="G29" s="525">
        <f t="shared" si="0"/>
        <v>96.909090909090907</v>
      </c>
      <c r="H29" s="110"/>
      <c r="I29" s="585"/>
      <c r="J29" s="49"/>
      <c r="L29"/>
    </row>
    <row r="30" spans="2:12" ht="15" customHeight="1" x14ac:dyDescent="0.2">
      <c r="B30" s="407">
        <v>715131</v>
      </c>
      <c r="C30" s="408" t="s">
        <v>126</v>
      </c>
      <c r="D30" s="409">
        <v>4240</v>
      </c>
      <c r="E30" s="409">
        <v>4240</v>
      </c>
      <c r="F30" s="410">
        <v>4120</v>
      </c>
      <c r="G30" s="526">
        <f t="shared" si="0"/>
        <v>97.169811320754718</v>
      </c>
      <c r="H30" s="49"/>
      <c r="J30" s="49"/>
    </row>
    <row r="31" spans="2:12" ht="15" customHeight="1" x14ac:dyDescent="0.2">
      <c r="B31" s="407">
        <v>715132</v>
      </c>
      <c r="C31" s="408" t="s">
        <v>127</v>
      </c>
      <c r="D31" s="409">
        <v>0</v>
      </c>
      <c r="E31" s="409">
        <v>0</v>
      </c>
      <c r="F31" s="410">
        <v>0</v>
      </c>
      <c r="G31" s="526" t="str">
        <f t="shared" si="0"/>
        <v/>
      </c>
      <c r="H31" s="49"/>
      <c r="J31" s="49"/>
    </row>
    <row r="32" spans="2:12" ht="15" customHeight="1" x14ac:dyDescent="0.2">
      <c r="B32" s="407">
        <v>715137</v>
      </c>
      <c r="C32" s="408" t="s">
        <v>128</v>
      </c>
      <c r="D32" s="409">
        <v>0</v>
      </c>
      <c r="E32" s="409">
        <v>0</v>
      </c>
      <c r="F32" s="410">
        <v>0</v>
      </c>
      <c r="G32" s="526" t="str">
        <f t="shared" si="0"/>
        <v/>
      </c>
      <c r="H32" s="49"/>
      <c r="J32" s="49"/>
    </row>
    <row r="33" spans="2:12" ht="15" customHeight="1" x14ac:dyDescent="0.2">
      <c r="B33" s="407">
        <v>715141</v>
      </c>
      <c r="C33" s="408" t="s">
        <v>129</v>
      </c>
      <c r="D33" s="409">
        <v>1260</v>
      </c>
      <c r="E33" s="409">
        <v>1260</v>
      </c>
      <c r="F33" s="410">
        <v>1210</v>
      </c>
      <c r="G33" s="526">
        <f t="shared" si="0"/>
        <v>96.031746031746039</v>
      </c>
      <c r="H33" s="49"/>
      <c r="J33" s="49"/>
    </row>
    <row r="34" spans="2:12" s="66" customFormat="1" ht="15" customHeight="1" x14ac:dyDescent="0.2">
      <c r="B34" s="403">
        <v>715200</v>
      </c>
      <c r="C34" s="413" t="s">
        <v>130</v>
      </c>
      <c r="D34" s="405">
        <f>D35</f>
        <v>0</v>
      </c>
      <c r="E34" s="405">
        <f>E35</f>
        <v>0</v>
      </c>
      <c r="F34" s="406">
        <f>F35</f>
        <v>0</v>
      </c>
      <c r="G34" s="525" t="str">
        <f t="shared" si="0"/>
        <v/>
      </c>
      <c r="H34" s="110"/>
      <c r="I34" s="585"/>
      <c r="J34" s="49"/>
      <c r="L34"/>
    </row>
    <row r="35" spans="2:12" ht="15" customHeight="1" x14ac:dyDescent="0.2">
      <c r="B35" s="407">
        <v>715211</v>
      </c>
      <c r="C35" s="408" t="s">
        <v>131</v>
      </c>
      <c r="D35" s="409">
        <v>0</v>
      </c>
      <c r="E35" s="409">
        <v>0</v>
      </c>
      <c r="F35" s="410">
        <v>0</v>
      </c>
      <c r="G35" s="526" t="str">
        <f t="shared" si="0"/>
        <v/>
      </c>
      <c r="H35" s="49"/>
      <c r="J35" s="49"/>
    </row>
    <row r="36" spans="2:12" s="66" customFormat="1" ht="15" customHeight="1" x14ac:dyDescent="0.2">
      <c r="B36" s="403">
        <v>715900</v>
      </c>
      <c r="C36" s="413" t="s">
        <v>132</v>
      </c>
      <c r="D36" s="405">
        <f>D37</f>
        <v>0</v>
      </c>
      <c r="E36" s="405">
        <f>E37</f>
        <v>0</v>
      </c>
      <c r="F36" s="406">
        <f>F37</f>
        <v>0</v>
      </c>
      <c r="G36" s="525" t="str">
        <f t="shared" si="0"/>
        <v/>
      </c>
      <c r="H36" s="110"/>
      <c r="I36" s="585"/>
      <c r="J36" s="49"/>
      <c r="L36"/>
    </row>
    <row r="37" spans="2:12" ht="27" customHeight="1" x14ac:dyDescent="0.2">
      <c r="B37" s="407">
        <v>715914</v>
      </c>
      <c r="C37" s="414" t="s">
        <v>133</v>
      </c>
      <c r="D37" s="409">
        <v>0</v>
      </c>
      <c r="E37" s="409">
        <v>0</v>
      </c>
      <c r="F37" s="410">
        <v>0</v>
      </c>
      <c r="G37" s="526" t="str">
        <f t="shared" si="0"/>
        <v/>
      </c>
      <c r="H37" s="49"/>
      <c r="J37" s="49"/>
    </row>
    <row r="38" spans="2:12" s="66" customFormat="1" ht="17.100000000000001" customHeight="1" x14ac:dyDescent="0.2">
      <c r="B38" s="396">
        <v>716000</v>
      </c>
      <c r="C38" s="397" t="s">
        <v>134</v>
      </c>
      <c r="D38" s="401">
        <f>D39</f>
        <v>5884520</v>
      </c>
      <c r="E38" s="401">
        <f>E39</f>
        <v>5884520</v>
      </c>
      <c r="F38" s="402">
        <f>F39</f>
        <v>6761320</v>
      </c>
      <c r="G38" s="524">
        <f t="shared" si="0"/>
        <v>114.90011079918159</v>
      </c>
      <c r="H38" s="110"/>
      <c r="I38" s="586"/>
      <c r="J38" s="49"/>
      <c r="L38"/>
    </row>
    <row r="39" spans="2:12" s="66" customFormat="1" ht="15" customHeight="1" x14ac:dyDescent="0.2">
      <c r="B39" s="403">
        <v>716100</v>
      </c>
      <c r="C39" s="413" t="s">
        <v>135</v>
      </c>
      <c r="D39" s="405">
        <f>SUM(D40:D46)</f>
        <v>5884520</v>
      </c>
      <c r="E39" s="405">
        <f>SUM(E40:E46)</f>
        <v>5884520</v>
      </c>
      <c r="F39" s="406">
        <f>SUM(F40:F46)</f>
        <v>6761320</v>
      </c>
      <c r="G39" s="525">
        <f t="shared" si="0"/>
        <v>114.90011079918159</v>
      </c>
      <c r="H39" s="111"/>
      <c r="I39" s="588"/>
      <c r="J39" s="49"/>
      <c r="L39"/>
    </row>
    <row r="40" spans="2:12" ht="15" customHeight="1" x14ac:dyDescent="0.2">
      <c r="B40" s="407">
        <v>716111</v>
      </c>
      <c r="C40" s="408" t="s">
        <v>136</v>
      </c>
      <c r="D40" s="410">
        <v>4689690</v>
      </c>
      <c r="E40" s="409">
        <v>4689690</v>
      </c>
      <c r="F40" s="410">
        <f>5294360+97130+30000</f>
        <v>5421490</v>
      </c>
      <c r="G40" s="526">
        <f t="shared" si="0"/>
        <v>115.60444293759289</v>
      </c>
      <c r="H40" s="111"/>
      <c r="I40" s="588"/>
      <c r="J40" s="332"/>
      <c r="K40" s="584"/>
    </row>
    <row r="41" spans="2:12" ht="15" customHeight="1" x14ac:dyDescent="0.2">
      <c r="B41" s="407">
        <v>716112</v>
      </c>
      <c r="C41" s="408" t="s">
        <v>137</v>
      </c>
      <c r="D41" s="410">
        <v>252480</v>
      </c>
      <c r="E41" s="409">
        <v>252480</v>
      </c>
      <c r="F41" s="410">
        <v>295650</v>
      </c>
      <c r="G41" s="526">
        <f t="shared" si="0"/>
        <v>117.09838403041826</v>
      </c>
      <c r="H41" s="111"/>
      <c r="I41" s="588"/>
      <c r="J41" s="332"/>
      <c r="K41" s="584"/>
    </row>
    <row r="42" spans="2:12" ht="15" customHeight="1" x14ac:dyDescent="0.2">
      <c r="B42" s="407">
        <v>716113</v>
      </c>
      <c r="C42" s="408" t="s">
        <v>138</v>
      </c>
      <c r="D42" s="410">
        <v>21360</v>
      </c>
      <c r="E42" s="409">
        <v>21360</v>
      </c>
      <c r="F42" s="410">
        <v>25190</v>
      </c>
      <c r="G42" s="526">
        <f t="shared" si="0"/>
        <v>117.9307116104869</v>
      </c>
      <c r="H42" s="111"/>
      <c r="I42" s="588"/>
      <c r="J42" s="332"/>
      <c r="K42" s="584"/>
    </row>
    <row r="43" spans="2:12" ht="15" customHeight="1" x14ac:dyDescent="0.2">
      <c r="B43" s="407">
        <v>716114</v>
      </c>
      <c r="C43" s="408" t="s">
        <v>139</v>
      </c>
      <c r="D43" s="410">
        <v>1370</v>
      </c>
      <c r="E43" s="409">
        <v>1370</v>
      </c>
      <c r="F43" s="410">
        <v>1610</v>
      </c>
      <c r="G43" s="526">
        <f t="shared" si="0"/>
        <v>117.51824817518248</v>
      </c>
      <c r="H43" s="111"/>
      <c r="I43" s="588"/>
      <c r="J43" s="332"/>
      <c r="K43" s="584"/>
    </row>
    <row r="44" spans="2:12" ht="25.5" customHeight="1" x14ac:dyDescent="0.2">
      <c r="B44" s="407">
        <v>716115</v>
      </c>
      <c r="C44" s="414" t="s">
        <v>140</v>
      </c>
      <c r="D44" s="410">
        <v>326400</v>
      </c>
      <c r="E44" s="409">
        <v>326400</v>
      </c>
      <c r="F44" s="410">
        <v>360080</v>
      </c>
      <c r="G44" s="526">
        <f t="shared" si="0"/>
        <v>110.3186274509804</v>
      </c>
      <c r="H44" s="111"/>
      <c r="I44" s="588"/>
      <c r="J44" s="332"/>
      <c r="K44" s="584"/>
    </row>
    <row r="45" spans="2:12" ht="15" customHeight="1" x14ac:dyDescent="0.2">
      <c r="B45" s="407">
        <v>716116</v>
      </c>
      <c r="C45" s="408" t="s">
        <v>141</v>
      </c>
      <c r="D45" s="410">
        <v>310420</v>
      </c>
      <c r="E45" s="409">
        <v>310420</v>
      </c>
      <c r="F45" s="410">
        <v>348250</v>
      </c>
      <c r="G45" s="526">
        <f t="shared" si="0"/>
        <v>112.18671477353264</v>
      </c>
      <c r="H45" s="111"/>
      <c r="I45" s="588"/>
      <c r="J45" s="332"/>
      <c r="K45" s="584"/>
    </row>
    <row r="46" spans="2:12" ht="15" customHeight="1" x14ac:dyDescent="0.2">
      <c r="B46" s="407">
        <v>716117</v>
      </c>
      <c r="C46" s="408" t="s">
        <v>142</v>
      </c>
      <c r="D46" s="410">
        <v>282800</v>
      </c>
      <c r="E46" s="409">
        <v>282800</v>
      </c>
      <c r="F46" s="410">
        <v>309050</v>
      </c>
      <c r="G46" s="526">
        <f t="shared" si="0"/>
        <v>109.28217821782178</v>
      </c>
      <c r="H46" s="111"/>
      <c r="I46" s="588"/>
      <c r="J46" s="332"/>
      <c r="K46" s="584"/>
    </row>
    <row r="47" spans="2:12" s="66" customFormat="1" ht="17.100000000000001" customHeight="1" x14ac:dyDescent="0.2">
      <c r="B47" s="396">
        <v>717000</v>
      </c>
      <c r="C47" s="397" t="s">
        <v>143</v>
      </c>
      <c r="D47" s="401">
        <f>D48</f>
        <v>44544812</v>
      </c>
      <c r="E47" s="401">
        <f>E48</f>
        <v>44544812</v>
      </c>
      <c r="F47" s="402">
        <f>F48</f>
        <v>47263160</v>
      </c>
      <c r="G47" s="524">
        <f t="shared" si="0"/>
        <v>106.10250190302746</v>
      </c>
      <c r="H47" s="110"/>
      <c r="I47" s="585"/>
      <c r="J47" s="49"/>
      <c r="L47"/>
    </row>
    <row r="48" spans="2:12" s="66" customFormat="1" ht="15" customHeight="1" x14ac:dyDescent="0.2">
      <c r="B48" s="403">
        <v>717100</v>
      </c>
      <c r="C48" s="413" t="s">
        <v>144</v>
      </c>
      <c r="D48" s="405">
        <f>D49+D52+D53</f>
        <v>44544812</v>
      </c>
      <c r="E48" s="405">
        <f>E49+E52+E53</f>
        <v>44544812</v>
      </c>
      <c r="F48" s="406">
        <f>F49+F52+F53</f>
        <v>47263160</v>
      </c>
      <c r="G48" s="525">
        <f t="shared" si="0"/>
        <v>106.10250190302746</v>
      </c>
      <c r="H48" s="110"/>
      <c r="I48" s="586"/>
      <c r="J48" s="49"/>
      <c r="L48"/>
    </row>
    <row r="49" spans="1:12" ht="15" customHeight="1" x14ac:dyDescent="0.2">
      <c r="B49" s="407">
        <v>717114</v>
      </c>
      <c r="C49" s="408" t="s">
        <v>145</v>
      </c>
      <c r="D49" s="409">
        <f t="shared" ref="D49" si="1">SUM(D50:D51)</f>
        <v>355510</v>
      </c>
      <c r="E49" s="409">
        <f t="shared" ref="E49" si="2">SUM(E50:E51)</f>
        <v>355510</v>
      </c>
      <c r="F49" s="410">
        <f t="shared" ref="F49" si="3">SUM(F50:F51)</f>
        <v>365490</v>
      </c>
      <c r="G49" s="526">
        <f t="shared" si="0"/>
        <v>102.807234676943</v>
      </c>
      <c r="H49" s="49"/>
      <c r="I49" s="588"/>
      <c r="J49" s="595"/>
    </row>
    <row r="50" spans="1:12" ht="15" customHeight="1" x14ac:dyDescent="0.2">
      <c r="B50" s="415"/>
      <c r="C50" s="416" t="s">
        <v>146</v>
      </c>
      <c r="D50" s="417">
        <v>0</v>
      </c>
      <c r="E50" s="417">
        <v>0</v>
      </c>
      <c r="F50" s="418">
        <v>0</v>
      </c>
      <c r="G50" s="527" t="str">
        <f t="shared" si="0"/>
        <v/>
      </c>
      <c r="H50" s="49"/>
      <c r="I50" s="588"/>
      <c r="J50" s="49"/>
    </row>
    <row r="51" spans="1:12" ht="15" customHeight="1" x14ac:dyDescent="0.2">
      <c r="B51" s="415"/>
      <c r="C51" s="416" t="s">
        <v>147</v>
      </c>
      <c r="D51" s="417">
        <v>355510</v>
      </c>
      <c r="E51" s="417">
        <v>355510</v>
      </c>
      <c r="F51" s="418">
        <v>365490</v>
      </c>
      <c r="G51" s="527">
        <f t="shared" si="0"/>
        <v>102.807234676943</v>
      </c>
      <c r="H51" s="49"/>
      <c r="I51" s="588"/>
      <c r="J51" s="49"/>
    </row>
    <row r="52" spans="1:12" ht="15" customHeight="1" x14ac:dyDescent="0.2">
      <c r="B52" s="407">
        <v>717121</v>
      </c>
      <c r="C52" s="408" t="s">
        <v>148</v>
      </c>
      <c r="D52" s="409">
        <v>42153130</v>
      </c>
      <c r="E52" s="409">
        <v>42153130</v>
      </c>
      <c r="F52" s="410">
        <v>45559980</v>
      </c>
      <c r="G52" s="526">
        <f t="shared" si="0"/>
        <v>108.08208073753953</v>
      </c>
      <c r="H52" s="550"/>
      <c r="I52" s="588"/>
      <c r="J52" s="49"/>
    </row>
    <row r="53" spans="1:12" ht="15" customHeight="1" x14ac:dyDescent="0.2">
      <c r="B53" s="407">
        <v>717131</v>
      </c>
      <c r="C53" s="408" t="s">
        <v>149</v>
      </c>
      <c r="D53" s="409">
        <f t="shared" ref="D53" si="4">D54+D55</f>
        <v>2036172</v>
      </c>
      <c r="E53" s="409">
        <f t="shared" ref="E53" si="5">E54+E55</f>
        <v>2036172</v>
      </c>
      <c r="F53" s="410">
        <f t="shared" ref="F53" si="6">F54+F55</f>
        <v>1337690</v>
      </c>
      <c r="G53" s="526">
        <f t="shared" si="0"/>
        <v>65.696316421206063</v>
      </c>
      <c r="H53" s="49"/>
      <c r="J53" s="49"/>
    </row>
    <row r="54" spans="1:12" ht="15" customHeight="1" x14ac:dyDescent="0.2">
      <c r="B54" s="415"/>
      <c r="C54" s="416" t="s">
        <v>150</v>
      </c>
      <c r="D54" s="417">
        <v>888992</v>
      </c>
      <c r="E54" s="417">
        <v>888992</v>
      </c>
      <c r="F54" s="418">
        <v>99000</v>
      </c>
      <c r="G54" s="527">
        <f t="shared" si="0"/>
        <v>11.136208199848816</v>
      </c>
      <c r="H54" s="49"/>
      <c r="I54" s="588"/>
      <c r="J54" s="49"/>
    </row>
    <row r="55" spans="1:12" ht="15" customHeight="1" x14ac:dyDescent="0.2">
      <c r="B55" s="415"/>
      <c r="C55" s="416" t="s">
        <v>151</v>
      </c>
      <c r="D55" s="417">
        <v>1147180</v>
      </c>
      <c r="E55" s="417">
        <v>1147180</v>
      </c>
      <c r="F55" s="418">
        <v>1238690</v>
      </c>
      <c r="G55" s="527">
        <f t="shared" si="0"/>
        <v>107.97695217838526</v>
      </c>
      <c r="H55" s="49"/>
      <c r="I55" s="588"/>
      <c r="J55" s="49"/>
    </row>
    <row r="56" spans="1:12" s="66" customFormat="1" ht="17.100000000000001" customHeight="1" x14ac:dyDescent="0.25">
      <c r="B56" s="396">
        <v>719000</v>
      </c>
      <c r="C56" s="397" t="s">
        <v>152</v>
      </c>
      <c r="D56" s="401">
        <f>D57</f>
        <v>230</v>
      </c>
      <c r="E56" s="401">
        <f>E57</f>
        <v>230</v>
      </c>
      <c r="F56" s="402">
        <f>F57</f>
        <v>230</v>
      </c>
      <c r="G56" s="524">
        <f t="shared" si="0"/>
        <v>100</v>
      </c>
      <c r="H56" s="110"/>
      <c r="I56" s="589"/>
      <c r="J56" s="49"/>
      <c r="L56"/>
    </row>
    <row r="57" spans="1:12" s="66" customFormat="1" ht="15" customHeight="1" x14ac:dyDescent="0.2">
      <c r="B57" s="403">
        <v>719100</v>
      </c>
      <c r="C57" s="413" t="s">
        <v>153</v>
      </c>
      <c r="D57" s="405">
        <f>SUM(D58:D60)</f>
        <v>230</v>
      </c>
      <c r="E57" s="405">
        <f>SUM(E58:E60)</f>
        <v>230</v>
      </c>
      <c r="F57" s="406">
        <f>SUM(F58:F60)</f>
        <v>230</v>
      </c>
      <c r="G57" s="525">
        <f t="shared" si="0"/>
        <v>100</v>
      </c>
      <c r="H57" s="110"/>
      <c r="I57" s="586"/>
      <c r="J57" s="49"/>
      <c r="L57"/>
    </row>
    <row r="58" spans="1:12" ht="15" customHeight="1" thickBot="1" x14ac:dyDescent="0.25">
      <c r="A58" s="80"/>
      <c r="B58" s="407">
        <v>719111</v>
      </c>
      <c r="C58" s="408" t="s">
        <v>153</v>
      </c>
      <c r="D58" s="409">
        <v>220</v>
      </c>
      <c r="E58" s="409">
        <v>220</v>
      </c>
      <c r="F58" s="410">
        <v>220</v>
      </c>
      <c r="G58" s="526">
        <f t="shared" si="0"/>
        <v>100</v>
      </c>
      <c r="H58" s="49"/>
      <c r="J58" s="49"/>
    </row>
    <row r="59" spans="1:12" ht="15" customHeight="1" x14ac:dyDescent="0.2">
      <c r="B59" s="419">
        <v>719114</v>
      </c>
      <c r="C59" s="420" t="s">
        <v>154</v>
      </c>
      <c r="D59" s="421">
        <v>10</v>
      </c>
      <c r="E59" s="421">
        <v>10</v>
      </c>
      <c r="F59" s="422">
        <v>10</v>
      </c>
      <c r="G59" s="528">
        <f t="shared" si="0"/>
        <v>100</v>
      </c>
      <c r="H59" s="247"/>
      <c r="J59" s="49"/>
    </row>
    <row r="60" spans="1:12" ht="25.5" x14ac:dyDescent="0.2">
      <c r="B60" s="407">
        <v>719115</v>
      </c>
      <c r="C60" s="414" t="s">
        <v>155</v>
      </c>
      <c r="D60" s="409">
        <v>0</v>
      </c>
      <c r="E60" s="409">
        <v>0</v>
      </c>
      <c r="F60" s="410">
        <v>0</v>
      </c>
      <c r="G60" s="526" t="str">
        <f t="shared" si="0"/>
        <v/>
      </c>
      <c r="H60" s="38"/>
      <c r="J60" s="49"/>
    </row>
    <row r="61" spans="1:12" x14ac:dyDescent="0.2">
      <c r="B61" s="407"/>
      <c r="C61" s="423"/>
      <c r="D61" s="409"/>
      <c r="E61" s="409"/>
      <c r="F61" s="410"/>
      <c r="G61" s="526" t="str">
        <f t="shared" si="0"/>
        <v/>
      </c>
      <c r="H61" s="38"/>
      <c r="J61" s="49"/>
    </row>
    <row r="62" spans="1:12" ht="17.100000000000001" customHeight="1" x14ac:dyDescent="0.2">
      <c r="B62" s="396">
        <v>720000</v>
      </c>
      <c r="C62" s="397" t="s">
        <v>156</v>
      </c>
      <c r="D62" s="398">
        <f>D63+D82+D173</f>
        <v>3898134</v>
      </c>
      <c r="E62" s="398">
        <f>E63+E82+E173</f>
        <v>3898134</v>
      </c>
      <c r="F62" s="399">
        <f>F63+F82+F173</f>
        <v>3650750</v>
      </c>
      <c r="G62" s="523">
        <f t="shared" si="0"/>
        <v>93.653784092594051</v>
      </c>
      <c r="H62" s="49"/>
      <c r="J62" s="49"/>
    </row>
    <row r="63" spans="1:12" ht="25.5" x14ac:dyDescent="0.2">
      <c r="B63" s="396">
        <v>721000</v>
      </c>
      <c r="C63" s="424" t="s">
        <v>157</v>
      </c>
      <c r="D63" s="401">
        <f t="shared" ref="D63" si="7">D64+D68+D73+D76+D78+D80</f>
        <v>128550</v>
      </c>
      <c r="E63" s="401">
        <f t="shared" ref="E63" si="8">E64+E68+E73+E76+E78+E80</f>
        <v>128550</v>
      </c>
      <c r="F63" s="402">
        <f t="shared" ref="F63" si="9">F64+F68+F73+F76+F78+F80</f>
        <v>151600</v>
      </c>
      <c r="G63" s="524">
        <f t="shared" si="0"/>
        <v>117.93076623881757</v>
      </c>
      <c r="H63" s="247"/>
      <c r="J63" s="49"/>
    </row>
    <row r="64" spans="1:12" ht="15" customHeight="1" x14ac:dyDescent="0.2">
      <c r="B64" s="403">
        <v>721100</v>
      </c>
      <c r="C64" s="413" t="s">
        <v>158</v>
      </c>
      <c r="D64" s="405">
        <f t="shared" ref="D64:F64" si="10">SUM(D65:D67)</f>
        <v>113740</v>
      </c>
      <c r="E64" s="405">
        <f t="shared" ref="E64" si="11">SUM(E65:E67)</f>
        <v>113740</v>
      </c>
      <c r="F64" s="406">
        <f t="shared" si="10"/>
        <v>136790</v>
      </c>
      <c r="G64" s="525">
        <f t="shared" si="0"/>
        <v>120.26551784772288</v>
      </c>
      <c r="H64" s="247"/>
      <c r="J64" s="49"/>
    </row>
    <row r="65" spans="2:10" ht="15" customHeight="1" x14ac:dyDescent="0.2">
      <c r="B65" s="407">
        <v>721112</v>
      </c>
      <c r="C65" s="408" t="s">
        <v>159</v>
      </c>
      <c r="D65" s="409">
        <v>16620</v>
      </c>
      <c r="E65" s="409">
        <v>16620</v>
      </c>
      <c r="F65" s="410">
        <v>21790</v>
      </c>
      <c r="G65" s="526">
        <f t="shared" si="0"/>
        <v>131.10709987966305</v>
      </c>
      <c r="H65" s="247"/>
      <c r="I65" s="585"/>
      <c r="J65" s="49"/>
    </row>
    <row r="66" spans="2:10" ht="15" customHeight="1" x14ac:dyDescent="0.2">
      <c r="B66" s="407">
        <v>721121</v>
      </c>
      <c r="C66" s="408" t="s">
        <v>160</v>
      </c>
      <c r="D66" s="409">
        <v>97120</v>
      </c>
      <c r="E66" s="409">
        <v>97120</v>
      </c>
      <c r="F66" s="410">
        <v>115000</v>
      </c>
      <c r="G66" s="526">
        <f t="shared" si="0"/>
        <v>118.41021416803954</v>
      </c>
      <c r="H66" s="247"/>
      <c r="J66" s="49"/>
    </row>
    <row r="67" spans="2:10" ht="15" customHeight="1" x14ac:dyDescent="0.2">
      <c r="B67" s="407">
        <v>721123</v>
      </c>
      <c r="C67" s="408" t="s">
        <v>161</v>
      </c>
      <c r="D67" s="409">
        <v>0</v>
      </c>
      <c r="E67" s="409">
        <v>0</v>
      </c>
      <c r="F67" s="410">
        <v>0</v>
      </c>
      <c r="G67" s="526" t="str">
        <f t="shared" si="0"/>
        <v/>
      </c>
      <c r="H67" s="247"/>
      <c r="J67" s="49"/>
    </row>
    <row r="68" spans="2:10" ht="15" customHeight="1" x14ac:dyDescent="0.2">
      <c r="B68" s="403">
        <v>721200</v>
      </c>
      <c r="C68" s="413" t="s">
        <v>162</v>
      </c>
      <c r="D68" s="405">
        <f>SUM(D69:D72)</f>
        <v>14700</v>
      </c>
      <c r="E68" s="405">
        <f>SUM(E69:E72)</f>
        <v>14700</v>
      </c>
      <c r="F68" s="406">
        <f>SUM(F69:F72)</f>
        <v>14700</v>
      </c>
      <c r="G68" s="525">
        <f t="shared" si="0"/>
        <v>100</v>
      </c>
      <c r="H68" s="247"/>
      <c r="J68" s="49"/>
    </row>
    <row r="69" spans="2:10" ht="15" customHeight="1" x14ac:dyDescent="0.2">
      <c r="B69" s="407">
        <v>721211</v>
      </c>
      <c r="C69" s="408" t="s">
        <v>163</v>
      </c>
      <c r="D69" s="409">
        <v>390</v>
      </c>
      <c r="E69" s="409">
        <v>390</v>
      </c>
      <c r="F69" s="410">
        <v>390</v>
      </c>
      <c r="G69" s="526">
        <f t="shared" ref="G69:G134" si="12">IF(E69=0,"",F69/E69*100)</f>
        <v>100</v>
      </c>
      <c r="J69" s="49"/>
    </row>
    <row r="70" spans="2:10" ht="15" customHeight="1" x14ac:dyDescent="0.2">
      <c r="B70" s="407">
        <v>721215</v>
      </c>
      <c r="C70" s="408" t="s">
        <v>781</v>
      </c>
      <c r="D70" s="409">
        <v>0</v>
      </c>
      <c r="E70" s="409">
        <v>0</v>
      </c>
      <c r="F70" s="410">
        <v>0</v>
      </c>
      <c r="G70" s="526" t="str">
        <f t="shared" ref="G70" si="13">IF(E70=0,"",F70/E70*100)</f>
        <v/>
      </c>
      <c r="J70" s="49"/>
    </row>
    <row r="71" spans="2:10" ht="15" customHeight="1" x14ac:dyDescent="0.2">
      <c r="B71" s="407">
        <v>721225</v>
      </c>
      <c r="C71" s="408" t="s">
        <v>164</v>
      </c>
      <c r="D71" s="409">
        <v>8130</v>
      </c>
      <c r="E71" s="409">
        <v>8130</v>
      </c>
      <c r="F71" s="410">
        <v>8130</v>
      </c>
      <c r="G71" s="526">
        <f t="shared" si="12"/>
        <v>100</v>
      </c>
      <c r="J71" s="49"/>
    </row>
    <row r="72" spans="2:10" ht="15" customHeight="1" x14ac:dyDescent="0.2">
      <c r="B72" s="407">
        <v>721227</v>
      </c>
      <c r="C72" s="408" t="s">
        <v>165</v>
      </c>
      <c r="D72" s="409">
        <v>6180</v>
      </c>
      <c r="E72" s="409">
        <v>6180</v>
      </c>
      <c r="F72" s="410">
        <v>6180</v>
      </c>
      <c r="G72" s="526">
        <f t="shared" si="12"/>
        <v>100</v>
      </c>
      <c r="J72" s="49"/>
    </row>
    <row r="73" spans="2:10" ht="15" customHeight="1" x14ac:dyDescent="0.2">
      <c r="B73" s="403">
        <v>721300</v>
      </c>
      <c r="C73" s="413" t="s">
        <v>166</v>
      </c>
      <c r="D73" s="405">
        <f>SUM(D74:D75)</f>
        <v>100</v>
      </c>
      <c r="E73" s="405">
        <f>SUM(E74:E75)</f>
        <v>100</v>
      </c>
      <c r="F73" s="406">
        <f>SUM(F74:F75)</f>
        <v>100</v>
      </c>
      <c r="G73" s="525">
        <f t="shared" si="12"/>
        <v>100</v>
      </c>
      <c r="H73" s="247"/>
      <c r="J73" s="49"/>
    </row>
    <row r="74" spans="2:10" ht="15" customHeight="1" x14ac:dyDescent="0.2">
      <c r="B74" s="407">
        <v>721311</v>
      </c>
      <c r="C74" s="408" t="s">
        <v>167</v>
      </c>
      <c r="D74" s="409">
        <v>100</v>
      </c>
      <c r="E74" s="409">
        <v>100</v>
      </c>
      <c r="F74" s="410">
        <v>100</v>
      </c>
      <c r="G74" s="526">
        <f t="shared" si="12"/>
        <v>100</v>
      </c>
      <c r="J74" s="49"/>
    </row>
    <row r="75" spans="2:10" ht="15" customHeight="1" x14ac:dyDescent="0.2">
      <c r="B75" s="407">
        <v>721312</v>
      </c>
      <c r="C75" s="408" t="s">
        <v>168</v>
      </c>
      <c r="D75" s="409">
        <v>0</v>
      </c>
      <c r="E75" s="409">
        <v>0</v>
      </c>
      <c r="F75" s="410">
        <v>0</v>
      </c>
      <c r="G75" s="526" t="str">
        <f t="shared" si="12"/>
        <v/>
      </c>
      <c r="J75" s="49"/>
    </row>
    <row r="76" spans="2:10" ht="15" customHeight="1" x14ac:dyDescent="0.2">
      <c r="B76" s="403">
        <v>721500</v>
      </c>
      <c r="C76" s="413" t="s">
        <v>169</v>
      </c>
      <c r="D76" s="405">
        <f>D77</f>
        <v>10</v>
      </c>
      <c r="E76" s="405">
        <f>E77</f>
        <v>10</v>
      </c>
      <c r="F76" s="406">
        <f>F77</f>
        <v>10</v>
      </c>
      <c r="G76" s="525">
        <f t="shared" si="12"/>
        <v>100</v>
      </c>
      <c r="H76" s="247"/>
      <c r="J76" s="49"/>
    </row>
    <row r="77" spans="2:10" ht="15" customHeight="1" x14ac:dyDescent="0.2">
      <c r="B77" s="407">
        <v>721511</v>
      </c>
      <c r="C77" s="408" t="s">
        <v>169</v>
      </c>
      <c r="D77" s="409">
        <v>10</v>
      </c>
      <c r="E77" s="409">
        <v>10</v>
      </c>
      <c r="F77" s="410">
        <v>10</v>
      </c>
      <c r="G77" s="526">
        <f t="shared" si="12"/>
        <v>100</v>
      </c>
      <c r="J77" s="49"/>
    </row>
    <row r="78" spans="2:10" ht="15" customHeight="1" x14ac:dyDescent="0.2">
      <c r="B78" s="403">
        <v>721600</v>
      </c>
      <c r="C78" s="413" t="s">
        <v>170</v>
      </c>
      <c r="D78" s="405">
        <f>D79</f>
        <v>0</v>
      </c>
      <c r="E78" s="405">
        <f>E79</f>
        <v>0</v>
      </c>
      <c r="F78" s="406">
        <f>F79</f>
        <v>0</v>
      </c>
      <c r="G78" s="525" t="str">
        <f t="shared" si="12"/>
        <v/>
      </c>
      <c r="J78" s="49"/>
    </row>
    <row r="79" spans="2:10" ht="15" customHeight="1" x14ac:dyDescent="0.2">
      <c r="B79" s="407">
        <v>721613</v>
      </c>
      <c r="C79" s="408" t="s">
        <v>171</v>
      </c>
      <c r="D79" s="409">
        <v>0</v>
      </c>
      <c r="E79" s="409">
        <v>0</v>
      </c>
      <c r="F79" s="410">
        <v>0</v>
      </c>
      <c r="G79" s="526" t="str">
        <f t="shared" si="12"/>
        <v/>
      </c>
      <c r="J79" s="49"/>
    </row>
    <row r="80" spans="2:10" ht="15" customHeight="1" x14ac:dyDescent="0.2">
      <c r="B80" s="403">
        <v>721700</v>
      </c>
      <c r="C80" s="413" t="s">
        <v>172</v>
      </c>
      <c r="D80" s="405">
        <f>D81</f>
        <v>0</v>
      </c>
      <c r="E80" s="405">
        <f>E81</f>
        <v>0</v>
      </c>
      <c r="F80" s="406">
        <f>F81</f>
        <v>0</v>
      </c>
      <c r="G80" s="525" t="str">
        <f t="shared" si="12"/>
        <v/>
      </c>
      <c r="H80" s="247"/>
      <c r="J80" s="49"/>
    </row>
    <row r="81" spans="2:14" ht="15" customHeight="1" x14ac:dyDescent="0.2">
      <c r="B81" s="407">
        <v>721712</v>
      </c>
      <c r="C81" s="408" t="s">
        <v>173</v>
      </c>
      <c r="D81" s="409">
        <v>0</v>
      </c>
      <c r="E81" s="409">
        <v>0</v>
      </c>
      <c r="F81" s="410">
        <v>0</v>
      </c>
      <c r="G81" s="526" t="str">
        <f t="shared" si="12"/>
        <v/>
      </c>
      <c r="J81" s="49"/>
    </row>
    <row r="82" spans="2:14" ht="15" x14ac:dyDescent="0.2">
      <c r="B82" s="396">
        <v>722000</v>
      </c>
      <c r="C82" s="400" t="s">
        <v>174</v>
      </c>
      <c r="D82" s="398">
        <f>D83+D85+D87+D105+D153+D166</f>
        <v>2809074</v>
      </c>
      <c r="E82" s="398">
        <f>E83+E85+E87+E105+E153+E166</f>
        <v>2809074</v>
      </c>
      <c r="F82" s="399">
        <f>F83+F85+F87+F105+F153+F166</f>
        <v>2683590</v>
      </c>
      <c r="G82" s="524">
        <f t="shared" si="12"/>
        <v>95.532905149526144</v>
      </c>
      <c r="H82" s="247"/>
      <c r="J82" s="49"/>
    </row>
    <row r="83" spans="2:14" ht="15" customHeight="1" x14ac:dyDescent="0.2">
      <c r="B83" s="403">
        <v>722100</v>
      </c>
      <c r="C83" s="404" t="s">
        <v>175</v>
      </c>
      <c r="D83" s="405">
        <f>D84</f>
        <v>159890</v>
      </c>
      <c r="E83" s="405">
        <f>E84</f>
        <v>159890</v>
      </c>
      <c r="F83" s="406">
        <f>F84</f>
        <v>119960</v>
      </c>
      <c r="G83" s="525">
        <f t="shared" si="12"/>
        <v>75.026580774282309</v>
      </c>
      <c r="J83" s="49"/>
    </row>
    <row r="84" spans="2:14" ht="15" customHeight="1" x14ac:dyDescent="0.2">
      <c r="B84" s="407">
        <v>722121</v>
      </c>
      <c r="C84" s="408" t="s">
        <v>176</v>
      </c>
      <c r="D84" s="409">
        <v>159890</v>
      </c>
      <c r="E84" s="409">
        <v>159890</v>
      </c>
      <c r="F84" s="410">
        <v>119960</v>
      </c>
      <c r="G84" s="526">
        <f t="shared" si="12"/>
        <v>75.026580774282309</v>
      </c>
      <c r="H84" s="247"/>
      <c r="J84" s="49"/>
    </row>
    <row r="85" spans="2:14" ht="15" customHeight="1" x14ac:dyDescent="0.2">
      <c r="B85" s="403">
        <v>722200</v>
      </c>
      <c r="C85" s="404" t="s">
        <v>177</v>
      </c>
      <c r="D85" s="405">
        <f>D86</f>
        <v>386460</v>
      </c>
      <c r="E85" s="405">
        <f>E86</f>
        <v>386460</v>
      </c>
      <c r="F85" s="406">
        <f>F86</f>
        <v>351860</v>
      </c>
      <c r="G85" s="525">
        <f t="shared" si="12"/>
        <v>91.04693888112611</v>
      </c>
      <c r="J85" s="49"/>
      <c r="K85" s="247"/>
    </row>
    <row r="86" spans="2:14" ht="15" customHeight="1" x14ac:dyDescent="0.2">
      <c r="B86" s="407">
        <v>722221</v>
      </c>
      <c r="C86" s="408" t="s">
        <v>178</v>
      </c>
      <c r="D86" s="409">
        <v>386460</v>
      </c>
      <c r="E86" s="409">
        <v>386460</v>
      </c>
      <c r="F86" s="410">
        <v>351860</v>
      </c>
      <c r="G86" s="526">
        <f t="shared" si="12"/>
        <v>91.04693888112611</v>
      </c>
      <c r="H86" s="247"/>
      <c r="J86" s="49"/>
    </row>
    <row r="87" spans="2:14" ht="15" customHeight="1" x14ac:dyDescent="0.2">
      <c r="B87" s="403">
        <v>722400</v>
      </c>
      <c r="C87" s="404" t="s">
        <v>179</v>
      </c>
      <c r="D87" s="405">
        <f>D88+D95+D98</f>
        <v>438980</v>
      </c>
      <c r="E87" s="405">
        <f>E88+E95+E98</f>
        <v>438980</v>
      </c>
      <c r="F87" s="406">
        <f>F88+F95+F98</f>
        <v>443090</v>
      </c>
      <c r="G87" s="525">
        <f t="shared" si="12"/>
        <v>100.93626133309034</v>
      </c>
      <c r="H87" s="247"/>
      <c r="J87" s="49"/>
      <c r="N87" s="49"/>
    </row>
    <row r="88" spans="2:14" ht="15" customHeight="1" x14ac:dyDescent="0.2">
      <c r="B88" s="425">
        <v>722420</v>
      </c>
      <c r="C88" s="426" t="s">
        <v>180</v>
      </c>
      <c r="D88" s="427">
        <f>D89+D90+D93+D94</f>
        <v>191270</v>
      </c>
      <c r="E88" s="427">
        <f>E89+E90+E93+E94</f>
        <v>191270</v>
      </c>
      <c r="F88" s="428">
        <f>F89+F90+F93+F94</f>
        <v>193380</v>
      </c>
      <c r="G88" s="525">
        <f t="shared" si="12"/>
        <v>101.10315261149161</v>
      </c>
      <c r="H88" s="247"/>
      <c r="J88" s="49"/>
    </row>
    <row r="89" spans="2:14" ht="15" customHeight="1" x14ac:dyDescent="0.2">
      <c r="B89" s="407">
        <v>722421</v>
      </c>
      <c r="C89" s="408" t="s">
        <v>180</v>
      </c>
      <c r="D89" s="409">
        <v>0</v>
      </c>
      <c r="E89" s="409">
        <v>0</v>
      </c>
      <c r="F89" s="410">
        <v>0</v>
      </c>
      <c r="G89" s="526" t="str">
        <f t="shared" si="12"/>
        <v/>
      </c>
      <c r="J89" s="49"/>
    </row>
    <row r="90" spans="2:14" ht="15" customHeight="1" x14ac:dyDescent="0.2">
      <c r="B90" s="407">
        <v>722422</v>
      </c>
      <c r="C90" s="408" t="s">
        <v>181</v>
      </c>
      <c r="D90" s="409">
        <f t="shared" ref="D90" si="14">SUM(D91:D92)</f>
        <v>182880</v>
      </c>
      <c r="E90" s="409">
        <f t="shared" ref="E90" si="15">SUM(E91:E92)</f>
        <v>182880</v>
      </c>
      <c r="F90" s="410">
        <f>SUM(F91:F92)</f>
        <v>185000</v>
      </c>
      <c r="G90" s="526">
        <f t="shared" si="12"/>
        <v>101.15923009623798</v>
      </c>
      <c r="H90" s="247"/>
      <c r="J90" s="49"/>
    </row>
    <row r="91" spans="2:14" s="306" customFormat="1" ht="15" customHeight="1" x14ac:dyDescent="0.2">
      <c r="B91" s="415"/>
      <c r="C91" s="429" t="s">
        <v>182</v>
      </c>
      <c r="D91" s="417">
        <v>0</v>
      </c>
      <c r="E91" s="417">
        <v>0</v>
      </c>
      <c r="F91" s="418">
        <v>0</v>
      </c>
      <c r="G91" s="527" t="str">
        <f>IF(E91=0,"",F91/E91*100)</f>
        <v/>
      </c>
      <c r="I91" s="590"/>
      <c r="J91" s="596"/>
    </row>
    <row r="92" spans="2:14" s="306" customFormat="1" ht="15" customHeight="1" x14ac:dyDescent="0.2">
      <c r="B92" s="415"/>
      <c r="C92" s="429" t="s">
        <v>183</v>
      </c>
      <c r="D92" s="417">
        <v>182880</v>
      </c>
      <c r="E92" s="417">
        <v>182880</v>
      </c>
      <c r="F92" s="418">
        <v>185000</v>
      </c>
      <c r="G92" s="527">
        <f>IF(E92=0,"",F92/E92*100)</f>
        <v>101.15923009623798</v>
      </c>
      <c r="I92" s="590"/>
      <c r="J92" s="596"/>
    </row>
    <row r="93" spans="2:14" ht="15" customHeight="1" x14ac:dyDescent="0.2">
      <c r="B93" s="407">
        <v>722424</v>
      </c>
      <c r="C93" s="408" t="s">
        <v>184</v>
      </c>
      <c r="D93" s="409">
        <v>6600</v>
      </c>
      <c r="E93" s="409">
        <v>6600</v>
      </c>
      <c r="F93" s="410">
        <v>6640</v>
      </c>
      <c r="G93" s="526">
        <f t="shared" si="12"/>
        <v>100.60606060606061</v>
      </c>
      <c r="J93" s="49"/>
    </row>
    <row r="94" spans="2:14" ht="15" customHeight="1" x14ac:dyDescent="0.2">
      <c r="B94" s="407">
        <v>722429</v>
      </c>
      <c r="C94" s="408" t="s">
        <v>185</v>
      </c>
      <c r="D94" s="409">
        <v>1790</v>
      </c>
      <c r="E94" s="409">
        <v>1790</v>
      </c>
      <c r="F94" s="410">
        <v>1740</v>
      </c>
      <c r="G94" s="526">
        <f t="shared" si="12"/>
        <v>97.206703910614522</v>
      </c>
      <c r="J94" s="49"/>
    </row>
    <row r="95" spans="2:14" ht="15" customHeight="1" x14ac:dyDescent="0.2">
      <c r="B95" s="425">
        <v>722450</v>
      </c>
      <c r="C95" s="426" t="s">
        <v>186</v>
      </c>
      <c r="D95" s="427">
        <f>SUM(D96:D97)</f>
        <v>5470</v>
      </c>
      <c r="E95" s="427">
        <f>SUM(E96:E97)</f>
        <v>5470</v>
      </c>
      <c r="F95" s="428">
        <f>SUM(F96:F97)</f>
        <v>5470</v>
      </c>
      <c r="G95" s="525">
        <f t="shared" si="12"/>
        <v>100</v>
      </c>
      <c r="H95" s="247"/>
      <c r="I95" s="585"/>
      <c r="J95" s="49"/>
    </row>
    <row r="96" spans="2:14" ht="15" customHeight="1" x14ac:dyDescent="0.2">
      <c r="B96" s="407">
        <v>722451</v>
      </c>
      <c r="C96" s="408" t="s">
        <v>187</v>
      </c>
      <c r="D96" s="409">
        <v>5470</v>
      </c>
      <c r="E96" s="409">
        <v>5470</v>
      </c>
      <c r="F96" s="410">
        <v>5470</v>
      </c>
      <c r="G96" s="526">
        <f t="shared" si="12"/>
        <v>100</v>
      </c>
      <c r="J96" s="49"/>
    </row>
    <row r="97" spans="2:10" ht="15" customHeight="1" x14ac:dyDescent="0.2">
      <c r="B97" s="407">
        <v>722454</v>
      </c>
      <c r="C97" s="408" t="s">
        <v>188</v>
      </c>
      <c r="D97" s="409">
        <v>0</v>
      </c>
      <c r="E97" s="409">
        <v>0</v>
      </c>
      <c r="F97" s="410">
        <v>0</v>
      </c>
      <c r="G97" s="526" t="str">
        <f t="shared" si="12"/>
        <v/>
      </c>
      <c r="J97" s="49"/>
    </row>
    <row r="98" spans="2:10" ht="25.5" x14ac:dyDescent="0.2">
      <c r="B98" s="425">
        <v>722470</v>
      </c>
      <c r="C98" s="430" t="s">
        <v>189</v>
      </c>
      <c r="D98" s="427">
        <f>D99+D102+D104+D103</f>
        <v>242240</v>
      </c>
      <c r="E98" s="427">
        <f>E99+E102+E104+E103</f>
        <v>242240</v>
      </c>
      <c r="F98" s="428">
        <f t="shared" ref="F98" si="16">F99+F102+F104+F103</f>
        <v>244240</v>
      </c>
      <c r="G98" s="525">
        <f t="shared" si="12"/>
        <v>100.82562747688245</v>
      </c>
      <c r="H98" s="247"/>
      <c r="J98" s="49"/>
    </row>
    <row r="99" spans="2:10" ht="15" customHeight="1" x14ac:dyDescent="0.2">
      <c r="B99" s="407">
        <v>722471</v>
      </c>
      <c r="C99" s="408" t="s">
        <v>190</v>
      </c>
      <c r="D99" s="409">
        <f t="shared" ref="D99:F99" si="17">SUM(D100:D101)</f>
        <v>196660</v>
      </c>
      <c r="E99" s="409">
        <f t="shared" ref="E99" si="18">SUM(E100:E101)</f>
        <v>196660</v>
      </c>
      <c r="F99" s="410">
        <f t="shared" si="17"/>
        <v>199740</v>
      </c>
      <c r="G99" s="526">
        <f t="shared" si="12"/>
        <v>101.56615478490795</v>
      </c>
      <c r="H99" s="334"/>
      <c r="J99" s="49"/>
    </row>
    <row r="100" spans="2:10" s="306" customFormat="1" ht="15" customHeight="1" x14ac:dyDescent="0.2">
      <c r="B100" s="415"/>
      <c r="C100" s="429" t="s">
        <v>191</v>
      </c>
      <c r="D100" s="417">
        <v>40860</v>
      </c>
      <c r="E100" s="417">
        <v>40860</v>
      </c>
      <c r="F100" s="418">
        <v>40320</v>
      </c>
      <c r="G100" s="527">
        <f t="shared" si="12"/>
        <v>98.678414096916299</v>
      </c>
      <c r="I100" s="590"/>
      <c r="J100" s="596"/>
    </row>
    <row r="101" spans="2:10" s="306" customFormat="1" ht="15" customHeight="1" x14ac:dyDescent="0.2">
      <c r="B101" s="415"/>
      <c r="C101" s="429" t="s">
        <v>183</v>
      </c>
      <c r="D101" s="417">
        <v>155800</v>
      </c>
      <c r="E101" s="417">
        <v>155800</v>
      </c>
      <c r="F101" s="418">
        <v>159420</v>
      </c>
      <c r="G101" s="527">
        <f t="shared" si="12"/>
        <v>102.32349165596919</v>
      </c>
      <c r="I101" s="590"/>
      <c r="J101" s="596"/>
    </row>
    <row r="102" spans="2:10" ht="25.5" x14ac:dyDescent="0.2">
      <c r="B102" s="407">
        <v>722472</v>
      </c>
      <c r="C102" s="414" t="s">
        <v>192</v>
      </c>
      <c r="D102" s="409">
        <v>41150</v>
      </c>
      <c r="E102" s="409">
        <v>41150</v>
      </c>
      <c r="F102" s="410">
        <v>40030</v>
      </c>
      <c r="G102" s="526">
        <f t="shared" si="12"/>
        <v>97.278250303766711</v>
      </c>
      <c r="J102" s="49"/>
    </row>
    <row r="103" spans="2:10" ht="27" customHeight="1" x14ac:dyDescent="0.2">
      <c r="B103" s="407">
        <v>722475</v>
      </c>
      <c r="C103" s="414" t="s">
        <v>847</v>
      </c>
      <c r="D103" s="409">
        <v>1400</v>
      </c>
      <c r="E103" s="409">
        <v>1400</v>
      </c>
      <c r="F103" s="410">
        <v>1170</v>
      </c>
      <c r="G103" s="526">
        <f t="shared" ref="G103" si="19">IF(E103=0,"",F103/E103*100)</f>
        <v>83.571428571428569</v>
      </c>
      <c r="J103" s="49"/>
    </row>
    <row r="104" spans="2:10" ht="17.100000000000001" customHeight="1" x14ac:dyDescent="0.2">
      <c r="B104" s="407">
        <v>722479</v>
      </c>
      <c r="C104" s="414" t="s">
        <v>193</v>
      </c>
      <c r="D104" s="409">
        <v>3030</v>
      </c>
      <c r="E104" s="409">
        <v>3030</v>
      </c>
      <c r="F104" s="410">
        <v>3300</v>
      </c>
      <c r="G104" s="526">
        <f t="shared" si="12"/>
        <v>108.91089108910892</v>
      </c>
      <c r="J104" s="49"/>
    </row>
    <row r="105" spans="2:10" ht="17.100000000000001" customHeight="1" x14ac:dyDescent="0.2">
      <c r="B105" s="403">
        <v>722500</v>
      </c>
      <c r="C105" s="404" t="s">
        <v>194</v>
      </c>
      <c r="D105" s="405">
        <f>D106+D111+D125+D130+D132+D144</f>
        <v>1259664</v>
      </c>
      <c r="E105" s="405">
        <f>E106+E111+E125+E130+E132+E144</f>
        <v>1259664</v>
      </c>
      <c r="F105" s="406">
        <f>F106+F111+F125+F130+F132+F144</f>
        <v>1219570</v>
      </c>
      <c r="G105" s="525">
        <f t="shared" si="12"/>
        <v>96.817087731331526</v>
      </c>
      <c r="H105" s="247"/>
      <c r="J105" s="49"/>
    </row>
    <row r="106" spans="2:10" ht="27" customHeight="1" x14ac:dyDescent="0.2">
      <c r="B106" s="425">
        <v>722510</v>
      </c>
      <c r="C106" s="431" t="s">
        <v>195</v>
      </c>
      <c r="D106" s="427">
        <f t="shared" ref="D106:F106" si="20">SUM(D107:D110)</f>
        <v>14090</v>
      </c>
      <c r="E106" s="427">
        <f t="shared" ref="E106" si="21">SUM(E107:E110)</f>
        <v>14090</v>
      </c>
      <c r="F106" s="428">
        <f t="shared" si="20"/>
        <v>13670</v>
      </c>
      <c r="G106" s="525">
        <f t="shared" si="12"/>
        <v>97.019162526614622</v>
      </c>
      <c r="H106" s="247"/>
      <c r="J106" s="49"/>
    </row>
    <row r="107" spans="2:10" ht="25.5" x14ac:dyDescent="0.2">
      <c r="B107" s="407">
        <v>722511</v>
      </c>
      <c r="C107" s="432" t="s">
        <v>196</v>
      </c>
      <c r="D107" s="409">
        <v>50</v>
      </c>
      <c r="E107" s="409">
        <v>50</v>
      </c>
      <c r="F107" s="410">
        <v>50</v>
      </c>
      <c r="G107" s="526">
        <f t="shared" si="12"/>
        <v>100</v>
      </c>
      <c r="J107" s="49"/>
    </row>
    <row r="108" spans="2:10" ht="25.5" x14ac:dyDescent="0.2">
      <c r="B108" s="407">
        <v>722514</v>
      </c>
      <c r="C108" s="432" t="s">
        <v>197</v>
      </c>
      <c r="D108" s="409">
        <v>1320</v>
      </c>
      <c r="E108" s="409">
        <v>1320</v>
      </c>
      <c r="F108" s="410">
        <v>1280</v>
      </c>
      <c r="G108" s="526">
        <f t="shared" si="12"/>
        <v>96.969696969696969</v>
      </c>
      <c r="J108" s="49"/>
    </row>
    <row r="109" spans="2:10" ht="15" customHeight="1" x14ac:dyDescent="0.2">
      <c r="B109" s="407">
        <v>722515</v>
      </c>
      <c r="C109" s="423" t="s">
        <v>198</v>
      </c>
      <c r="D109" s="409">
        <v>12550</v>
      </c>
      <c r="E109" s="409">
        <v>12550</v>
      </c>
      <c r="F109" s="410">
        <v>12170</v>
      </c>
      <c r="G109" s="526">
        <f t="shared" si="12"/>
        <v>96.972111553784856</v>
      </c>
      <c r="J109" s="49"/>
    </row>
    <row r="110" spans="2:10" ht="15" customHeight="1" x14ac:dyDescent="0.2">
      <c r="B110" s="407">
        <v>722516</v>
      </c>
      <c r="C110" s="423" t="s">
        <v>199</v>
      </c>
      <c r="D110" s="409">
        <v>170</v>
      </c>
      <c r="E110" s="409">
        <v>170</v>
      </c>
      <c r="F110" s="410">
        <v>170</v>
      </c>
      <c r="G110" s="526">
        <f t="shared" si="12"/>
        <v>100</v>
      </c>
      <c r="J110" s="49"/>
    </row>
    <row r="111" spans="2:10" ht="15" customHeight="1" x14ac:dyDescent="0.2">
      <c r="B111" s="425">
        <v>722520</v>
      </c>
      <c r="C111" s="433" t="s">
        <v>200</v>
      </c>
      <c r="D111" s="427">
        <f>D112+D115+D116+D117+D118+D119+D120+D123+D124</f>
        <v>310000</v>
      </c>
      <c r="E111" s="427">
        <f>E112+E115+E116+E117+E118+E119+E120+E123+E124</f>
        <v>310000</v>
      </c>
      <c r="F111" s="428">
        <f t="shared" ref="F111" si="22">F112+F115+F116+F117+F118+F119+F120+F123+F124</f>
        <v>365620</v>
      </c>
      <c r="G111" s="525">
        <f t="shared" si="12"/>
        <v>117.94193548387098</v>
      </c>
      <c r="H111" s="247"/>
      <c r="I111" s="585"/>
      <c r="J111" s="49"/>
    </row>
    <row r="112" spans="2:10" ht="25.5" x14ac:dyDescent="0.2">
      <c r="B112" s="407">
        <v>722521</v>
      </c>
      <c r="C112" s="432" t="s">
        <v>201</v>
      </c>
      <c r="D112" s="409">
        <f t="shared" ref="D112" si="23">D113+D114</f>
        <v>71360</v>
      </c>
      <c r="E112" s="409">
        <f t="shared" ref="E112" si="24">E113+E114</f>
        <v>71360</v>
      </c>
      <c r="F112" s="410">
        <f t="shared" ref="F112" si="25">F113+F114</f>
        <v>113110</v>
      </c>
      <c r="G112" s="526">
        <f t="shared" si="12"/>
        <v>158.50616591928249</v>
      </c>
      <c r="J112" s="49"/>
    </row>
    <row r="113" spans="2:10" s="306" customFormat="1" ht="15" customHeight="1" x14ac:dyDescent="0.2">
      <c r="B113" s="415"/>
      <c r="C113" s="429" t="s">
        <v>202</v>
      </c>
      <c r="D113" s="417">
        <v>0</v>
      </c>
      <c r="E113" s="417">
        <v>0</v>
      </c>
      <c r="F113" s="418">
        <v>0</v>
      </c>
      <c r="G113" s="527" t="str">
        <f t="shared" si="12"/>
        <v/>
      </c>
      <c r="I113" s="590"/>
      <c r="J113" s="596"/>
    </row>
    <row r="114" spans="2:10" s="306" customFormat="1" ht="15" customHeight="1" x14ac:dyDescent="0.2">
      <c r="B114" s="415"/>
      <c r="C114" s="429" t="s">
        <v>203</v>
      </c>
      <c r="D114" s="417">
        <v>71360</v>
      </c>
      <c r="E114" s="417">
        <v>71360</v>
      </c>
      <c r="F114" s="418">
        <v>113110</v>
      </c>
      <c r="G114" s="527">
        <f t="shared" si="12"/>
        <v>158.50616591928249</v>
      </c>
      <c r="I114" s="590"/>
      <c r="J114" s="596"/>
    </row>
    <row r="115" spans="2:10" ht="25.5" customHeight="1" x14ac:dyDescent="0.2">
      <c r="B115" s="419">
        <v>722522</v>
      </c>
      <c r="C115" s="434" t="s">
        <v>204</v>
      </c>
      <c r="D115" s="421">
        <v>24940</v>
      </c>
      <c r="E115" s="421">
        <v>24940</v>
      </c>
      <c r="F115" s="422">
        <v>25650</v>
      </c>
      <c r="G115" s="528">
        <f t="shared" si="12"/>
        <v>102.84683239775461</v>
      </c>
      <c r="J115" s="49"/>
    </row>
    <row r="116" spans="2:10" ht="25.5" x14ac:dyDescent="0.2">
      <c r="B116" s="407">
        <v>722523</v>
      </c>
      <c r="C116" s="432" t="s">
        <v>205</v>
      </c>
      <c r="D116" s="409">
        <v>7420</v>
      </c>
      <c r="E116" s="409">
        <v>7420</v>
      </c>
      <c r="F116" s="410">
        <v>7800</v>
      </c>
      <c r="G116" s="526">
        <f t="shared" si="12"/>
        <v>105.12129380053908</v>
      </c>
      <c r="J116" s="49"/>
    </row>
    <row r="117" spans="2:10" ht="27" customHeight="1" x14ac:dyDescent="0.2">
      <c r="B117" s="407">
        <v>722524</v>
      </c>
      <c r="C117" s="432" t="s">
        <v>206</v>
      </c>
      <c r="D117" s="409">
        <v>520</v>
      </c>
      <c r="E117" s="409">
        <v>520</v>
      </c>
      <c r="F117" s="410">
        <v>550</v>
      </c>
      <c r="G117" s="526">
        <f t="shared" si="12"/>
        <v>105.76923076923077</v>
      </c>
      <c r="J117" s="49"/>
    </row>
    <row r="118" spans="2:10" ht="25.5" x14ac:dyDescent="0.2">
      <c r="B118" s="407">
        <v>722525</v>
      </c>
      <c r="C118" s="432" t="s">
        <v>207</v>
      </c>
      <c r="D118" s="409">
        <v>140</v>
      </c>
      <c r="E118" s="409">
        <v>140</v>
      </c>
      <c r="F118" s="410">
        <v>140</v>
      </c>
      <c r="G118" s="526">
        <f t="shared" si="12"/>
        <v>100</v>
      </c>
      <c r="J118" s="49"/>
    </row>
    <row r="119" spans="2:10" ht="25.5" x14ac:dyDescent="0.2">
      <c r="B119" s="407">
        <v>722526</v>
      </c>
      <c r="C119" s="432" t="s">
        <v>208</v>
      </c>
      <c r="D119" s="409">
        <v>40</v>
      </c>
      <c r="E119" s="409">
        <v>40</v>
      </c>
      <c r="F119" s="410">
        <v>40</v>
      </c>
      <c r="G119" s="526">
        <f t="shared" si="12"/>
        <v>100</v>
      </c>
      <c r="J119" s="49"/>
    </row>
    <row r="120" spans="2:10" ht="15" customHeight="1" x14ac:dyDescent="0.2">
      <c r="B120" s="407">
        <v>722527</v>
      </c>
      <c r="C120" s="423" t="s">
        <v>209</v>
      </c>
      <c r="D120" s="409">
        <f>D121+D122</f>
        <v>63200</v>
      </c>
      <c r="E120" s="409">
        <f>E121+E122</f>
        <v>63200</v>
      </c>
      <c r="F120" s="410">
        <f t="shared" ref="F120" si="26">F121+F122</f>
        <v>68950</v>
      </c>
      <c r="G120" s="526">
        <f t="shared" si="12"/>
        <v>109.09810126582278</v>
      </c>
      <c r="H120" s="535"/>
      <c r="J120" s="49"/>
    </row>
    <row r="121" spans="2:10" ht="15" customHeight="1" x14ac:dyDescent="0.2">
      <c r="B121" s="407"/>
      <c r="C121" s="429" t="s">
        <v>202</v>
      </c>
      <c r="D121" s="417">
        <v>0</v>
      </c>
      <c r="E121" s="417">
        <v>0</v>
      </c>
      <c r="F121" s="418">
        <v>0</v>
      </c>
      <c r="G121" s="526" t="str">
        <f t="shared" si="12"/>
        <v/>
      </c>
      <c r="H121" s="535"/>
      <c r="J121" s="49"/>
    </row>
    <row r="122" spans="2:10" ht="15" customHeight="1" x14ac:dyDescent="0.2">
      <c r="B122" s="407"/>
      <c r="C122" s="429" t="s">
        <v>203</v>
      </c>
      <c r="D122" s="417">
        <v>63200</v>
      </c>
      <c r="E122" s="417">
        <v>63200</v>
      </c>
      <c r="F122" s="418">
        <v>68950</v>
      </c>
      <c r="G122" s="526">
        <f t="shared" si="12"/>
        <v>109.09810126582278</v>
      </c>
      <c r="H122" s="535"/>
      <c r="J122" s="49"/>
    </row>
    <row r="123" spans="2:10" ht="15" customHeight="1" x14ac:dyDescent="0.2">
      <c r="B123" s="407">
        <v>722528</v>
      </c>
      <c r="C123" s="423" t="s">
        <v>210</v>
      </c>
      <c r="D123" s="409">
        <v>220</v>
      </c>
      <c r="E123" s="409">
        <v>220</v>
      </c>
      <c r="F123" s="410">
        <v>200</v>
      </c>
      <c r="G123" s="526">
        <f t="shared" si="12"/>
        <v>90.909090909090907</v>
      </c>
      <c r="J123" s="49"/>
    </row>
    <row r="124" spans="2:10" ht="15" customHeight="1" x14ac:dyDescent="0.2">
      <c r="B124" s="407">
        <v>722529</v>
      </c>
      <c r="C124" s="423" t="s">
        <v>211</v>
      </c>
      <c r="D124" s="409">
        <v>142160</v>
      </c>
      <c r="E124" s="409">
        <v>142160</v>
      </c>
      <c r="F124" s="410">
        <v>149180</v>
      </c>
      <c r="G124" s="526">
        <f t="shared" si="12"/>
        <v>104.93809791783906</v>
      </c>
      <c r="J124" s="49"/>
    </row>
    <row r="125" spans="2:10" ht="15" customHeight="1" x14ac:dyDescent="0.2">
      <c r="B125" s="425">
        <v>722530</v>
      </c>
      <c r="C125" s="433" t="s">
        <v>212</v>
      </c>
      <c r="D125" s="427">
        <f>SUM(D126:D129)</f>
        <v>400600</v>
      </c>
      <c r="E125" s="427">
        <f>SUM(E126:E129)</f>
        <v>400600</v>
      </c>
      <c r="F125" s="428">
        <f>SUM(F126:F129)</f>
        <v>391390</v>
      </c>
      <c r="G125" s="525">
        <f t="shared" si="12"/>
        <v>97.700948577134298</v>
      </c>
      <c r="H125" s="247"/>
      <c r="J125" s="49"/>
    </row>
    <row r="126" spans="2:10" ht="15" customHeight="1" x14ac:dyDescent="0.2">
      <c r="B126" s="407">
        <v>722531</v>
      </c>
      <c r="C126" s="423" t="s">
        <v>213</v>
      </c>
      <c r="D126" s="409">
        <v>95180</v>
      </c>
      <c r="E126" s="409">
        <v>95180</v>
      </c>
      <c r="F126" s="410">
        <v>89990</v>
      </c>
      <c r="G126" s="526">
        <f t="shared" si="12"/>
        <v>94.547173776003362</v>
      </c>
      <c r="J126" s="49"/>
    </row>
    <row r="127" spans="2:10" ht="15" customHeight="1" x14ac:dyDescent="0.2">
      <c r="B127" s="407">
        <v>722532</v>
      </c>
      <c r="C127" s="423" t="s">
        <v>214</v>
      </c>
      <c r="D127" s="409">
        <v>305410</v>
      </c>
      <c r="E127" s="409">
        <v>305410</v>
      </c>
      <c r="F127" s="410">
        <v>301390</v>
      </c>
      <c r="G127" s="526">
        <f t="shared" si="12"/>
        <v>98.683736616351794</v>
      </c>
      <c r="J127" s="49"/>
    </row>
    <row r="128" spans="2:10" ht="15" customHeight="1" x14ac:dyDescent="0.2">
      <c r="B128" s="407">
        <v>722535</v>
      </c>
      <c r="C128" s="423" t="s">
        <v>782</v>
      </c>
      <c r="D128" s="409">
        <v>10</v>
      </c>
      <c r="E128" s="409">
        <v>10</v>
      </c>
      <c r="F128" s="410">
        <v>10</v>
      </c>
      <c r="G128" s="526">
        <f t="shared" ref="G128" si="27">IF(E128=0,"",F128/E128*100)</f>
        <v>100</v>
      </c>
      <c r="J128" s="49"/>
    </row>
    <row r="129" spans="2:10" ht="15" customHeight="1" x14ac:dyDescent="0.2">
      <c r="B129" s="407">
        <v>722539</v>
      </c>
      <c r="C129" s="423" t="s">
        <v>215</v>
      </c>
      <c r="D129" s="409">
        <v>0</v>
      </c>
      <c r="E129" s="409">
        <v>0</v>
      </c>
      <c r="F129" s="410">
        <v>0</v>
      </c>
      <c r="G129" s="526" t="str">
        <f t="shared" si="12"/>
        <v/>
      </c>
      <c r="J129" s="49"/>
    </row>
    <row r="130" spans="2:10" ht="15" customHeight="1" x14ac:dyDescent="0.2">
      <c r="B130" s="425">
        <v>722540</v>
      </c>
      <c r="C130" s="433" t="s">
        <v>216</v>
      </c>
      <c r="D130" s="427">
        <f>D131</f>
        <v>290</v>
      </c>
      <c r="E130" s="427">
        <f>E131</f>
        <v>290</v>
      </c>
      <c r="F130" s="428">
        <f>F131</f>
        <v>290</v>
      </c>
      <c r="G130" s="525">
        <f t="shared" si="12"/>
        <v>100</v>
      </c>
      <c r="H130" s="247"/>
      <c r="J130" s="49"/>
    </row>
    <row r="131" spans="2:10" ht="15" customHeight="1" x14ac:dyDescent="0.2">
      <c r="B131" s="407">
        <v>722541</v>
      </c>
      <c r="C131" s="423" t="s">
        <v>217</v>
      </c>
      <c r="D131" s="409">
        <v>290</v>
      </c>
      <c r="E131" s="409">
        <v>290</v>
      </c>
      <c r="F131" s="410">
        <v>290</v>
      </c>
      <c r="G131" s="526">
        <f t="shared" si="12"/>
        <v>100</v>
      </c>
      <c r="J131" s="49"/>
    </row>
    <row r="132" spans="2:10" ht="15" customHeight="1" x14ac:dyDescent="0.25">
      <c r="B132" s="425">
        <v>722550</v>
      </c>
      <c r="C132" s="433" t="s">
        <v>218</v>
      </c>
      <c r="D132" s="427">
        <f>D133+D135+D137+D139+D141</f>
        <v>427874</v>
      </c>
      <c r="E132" s="427">
        <f>E133+E135+E137+E139+E141</f>
        <v>427874</v>
      </c>
      <c r="F132" s="428">
        <f t="shared" ref="F132" si="28">F133+F135+F137+F139+F141</f>
        <v>330470</v>
      </c>
      <c r="G132" s="525">
        <f t="shared" si="12"/>
        <v>77.235354333285031</v>
      </c>
      <c r="H132" s="247"/>
      <c r="I132" s="591"/>
      <c r="J132" s="49"/>
    </row>
    <row r="133" spans="2:10" ht="15" customHeight="1" x14ac:dyDescent="0.2">
      <c r="B133" s="407">
        <v>722551</v>
      </c>
      <c r="C133" s="423" t="s">
        <v>219</v>
      </c>
      <c r="D133" s="409">
        <f>D134</f>
        <v>0</v>
      </c>
      <c r="E133" s="409">
        <f>E134</f>
        <v>0</v>
      </c>
      <c r="F133" s="410">
        <f>F134</f>
        <v>0</v>
      </c>
      <c r="G133" s="526" t="str">
        <f t="shared" si="12"/>
        <v/>
      </c>
      <c r="J133" s="49"/>
    </row>
    <row r="134" spans="2:10" s="306" customFormat="1" ht="15" customHeight="1" x14ac:dyDescent="0.2">
      <c r="B134" s="415"/>
      <c r="C134" s="429" t="s">
        <v>203</v>
      </c>
      <c r="D134" s="417">
        <v>0</v>
      </c>
      <c r="E134" s="417">
        <v>0</v>
      </c>
      <c r="F134" s="418">
        <v>0</v>
      </c>
      <c r="G134" s="527" t="str">
        <f t="shared" si="12"/>
        <v/>
      </c>
      <c r="I134" s="590"/>
      <c r="J134" s="596"/>
    </row>
    <row r="135" spans="2:10" ht="15" customHeight="1" x14ac:dyDescent="0.2">
      <c r="B135" s="407">
        <v>722552</v>
      </c>
      <c r="C135" s="423" t="s">
        <v>220</v>
      </c>
      <c r="D135" s="409">
        <f>D136</f>
        <v>16320</v>
      </c>
      <c r="E135" s="409">
        <f>E136</f>
        <v>16320</v>
      </c>
      <c r="F135" s="410">
        <f>F136</f>
        <v>17810</v>
      </c>
      <c r="G135" s="526">
        <f t="shared" ref="G135:G194" si="29">IF(E135=0,"",F135/E135*100)</f>
        <v>109.12990196078431</v>
      </c>
      <c r="J135" s="49"/>
    </row>
    <row r="136" spans="2:10" s="306" customFormat="1" ht="15" customHeight="1" x14ac:dyDescent="0.2">
      <c r="B136" s="415"/>
      <c r="C136" s="429" t="s">
        <v>203</v>
      </c>
      <c r="D136" s="417">
        <v>16320</v>
      </c>
      <c r="E136" s="417">
        <v>16320</v>
      </c>
      <c r="F136" s="418">
        <v>17810</v>
      </c>
      <c r="G136" s="527">
        <f t="shared" si="29"/>
        <v>109.12990196078431</v>
      </c>
      <c r="I136" s="590"/>
      <c r="J136" s="596"/>
    </row>
    <row r="137" spans="2:10" ht="15" customHeight="1" x14ac:dyDescent="0.2">
      <c r="B137" s="407">
        <v>722553</v>
      </c>
      <c r="C137" s="423" t="s">
        <v>783</v>
      </c>
      <c r="D137" s="409">
        <f>D138</f>
        <v>240</v>
      </c>
      <c r="E137" s="409">
        <f>E138</f>
        <v>240</v>
      </c>
      <c r="F137" s="410">
        <f>F138</f>
        <v>250</v>
      </c>
      <c r="G137" s="526">
        <f t="shared" ref="G137:G138" si="30">IF(E137=0,"",F137/E137*100)</f>
        <v>104.16666666666667</v>
      </c>
      <c r="J137" s="49"/>
    </row>
    <row r="138" spans="2:10" s="306" customFormat="1" ht="15" customHeight="1" x14ac:dyDescent="0.2">
      <c r="B138" s="415"/>
      <c r="C138" s="429" t="s">
        <v>203</v>
      </c>
      <c r="D138" s="417">
        <v>240</v>
      </c>
      <c r="E138" s="417">
        <v>240</v>
      </c>
      <c r="F138" s="418">
        <v>250</v>
      </c>
      <c r="G138" s="527">
        <f t="shared" si="30"/>
        <v>104.16666666666667</v>
      </c>
      <c r="I138" s="590"/>
      <c r="J138" s="596"/>
    </row>
    <row r="139" spans="2:10" ht="25.5" x14ac:dyDescent="0.2">
      <c r="B139" s="407">
        <v>722555</v>
      </c>
      <c r="C139" s="432" t="s">
        <v>221</v>
      </c>
      <c r="D139" s="409">
        <f>D140</f>
        <v>68690</v>
      </c>
      <c r="E139" s="409">
        <f>E140</f>
        <v>68690</v>
      </c>
      <c r="F139" s="410">
        <f>F140</f>
        <v>70120</v>
      </c>
      <c r="G139" s="526">
        <f t="shared" si="29"/>
        <v>102.0818168583491</v>
      </c>
      <c r="J139" s="49"/>
    </row>
    <row r="140" spans="2:10" s="306" customFormat="1" ht="17.100000000000001" customHeight="1" x14ac:dyDescent="0.2">
      <c r="B140" s="415"/>
      <c r="C140" s="429" t="s">
        <v>203</v>
      </c>
      <c r="D140" s="417">
        <v>68690</v>
      </c>
      <c r="E140" s="417">
        <v>68690</v>
      </c>
      <c r="F140" s="418">
        <v>70120</v>
      </c>
      <c r="G140" s="527">
        <f t="shared" si="29"/>
        <v>102.0818168583491</v>
      </c>
      <c r="I140" s="590"/>
      <c r="J140" s="596"/>
    </row>
    <row r="141" spans="2:10" ht="25.5" x14ac:dyDescent="0.2">
      <c r="B141" s="407">
        <v>722556</v>
      </c>
      <c r="C141" s="432" t="s">
        <v>222</v>
      </c>
      <c r="D141" s="409">
        <f t="shared" ref="D141:F141" si="31">SUM(D142:D143)</f>
        <v>342624</v>
      </c>
      <c r="E141" s="409">
        <f t="shared" ref="E141" si="32">SUM(E142:E143)</f>
        <v>342624</v>
      </c>
      <c r="F141" s="410">
        <f t="shared" si="31"/>
        <v>242290</v>
      </c>
      <c r="G141" s="526">
        <f t="shared" si="29"/>
        <v>70.716003549080042</v>
      </c>
      <c r="J141" s="49"/>
    </row>
    <row r="142" spans="2:10" s="306" customFormat="1" ht="15" customHeight="1" x14ac:dyDescent="0.2">
      <c r="B142" s="415"/>
      <c r="C142" s="429" t="s">
        <v>202</v>
      </c>
      <c r="D142" s="417">
        <v>208494</v>
      </c>
      <c r="E142" s="417">
        <v>208494</v>
      </c>
      <c r="F142" s="418">
        <v>104000</v>
      </c>
      <c r="G142" s="527">
        <f t="shared" si="29"/>
        <v>49.88153136301284</v>
      </c>
      <c r="I142" s="590"/>
      <c r="J142" s="596"/>
    </row>
    <row r="143" spans="2:10" s="306" customFormat="1" ht="15" customHeight="1" x14ac:dyDescent="0.2">
      <c r="B143" s="415"/>
      <c r="C143" s="429" t="s">
        <v>203</v>
      </c>
      <c r="D143" s="417">
        <v>134130</v>
      </c>
      <c r="E143" s="417">
        <v>134130</v>
      </c>
      <c r="F143" s="418">
        <v>138290</v>
      </c>
      <c r="G143" s="527">
        <f t="shared" si="29"/>
        <v>103.10146872437187</v>
      </c>
      <c r="I143" s="590"/>
      <c r="J143" s="596"/>
    </row>
    <row r="144" spans="2:10" ht="15" customHeight="1" x14ac:dyDescent="0.2">
      <c r="B144" s="425">
        <v>722580</v>
      </c>
      <c r="C144" s="433" t="s">
        <v>223</v>
      </c>
      <c r="D144" s="427">
        <f>D145+D148+D149+D150+D151+D152</f>
        <v>106810</v>
      </c>
      <c r="E144" s="427">
        <f>E145+E148+E149+E150+E151+E152</f>
        <v>106810</v>
      </c>
      <c r="F144" s="428">
        <f>F145+F148+F149+F150+F151+F152</f>
        <v>118130</v>
      </c>
      <c r="G144" s="525">
        <f t="shared" si="29"/>
        <v>110.59825859001965</v>
      </c>
      <c r="H144" s="247"/>
      <c r="I144" s="585"/>
      <c r="J144" s="49"/>
    </row>
    <row r="145" spans="2:10" ht="25.5" x14ac:dyDescent="0.2">
      <c r="B145" s="407">
        <v>722581</v>
      </c>
      <c r="C145" s="432" t="s">
        <v>224</v>
      </c>
      <c r="D145" s="409">
        <f t="shared" ref="D145:F145" si="33">SUM(D146:D147)</f>
        <v>94500</v>
      </c>
      <c r="E145" s="409">
        <f t="shared" ref="E145" si="34">SUM(E146:E147)</f>
        <v>94500</v>
      </c>
      <c r="F145" s="410">
        <f t="shared" si="33"/>
        <v>104380</v>
      </c>
      <c r="G145" s="526">
        <f t="shared" si="29"/>
        <v>110.45502645502646</v>
      </c>
      <c r="J145" s="49"/>
    </row>
    <row r="146" spans="2:10" s="306" customFormat="1" ht="15" customHeight="1" x14ac:dyDescent="0.25">
      <c r="B146" s="415"/>
      <c r="C146" s="429" t="s">
        <v>225</v>
      </c>
      <c r="D146" s="417">
        <v>0</v>
      </c>
      <c r="E146" s="417">
        <v>0</v>
      </c>
      <c r="F146" s="418">
        <v>4190</v>
      </c>
      <c r="G146" s="527" t="str">
        <f t="shared" si="29"/>
        <v/>
      </c>
      <c r="I146" s="592"/>
      <c r="J146" s="596"/>
    </row>
    <row r="147" spans="2:10" s="306" customFormat="1" ht="15" customHeight="1" x14ac:dyDescent="0.25">
      <c r="B147" s="415"/>
      <c r="C147" s="429" t="s">
        <v>226</v>
      </c>
      <c r="D147" s="417">
        <v>94500</v>
      </c>
      <c r="E147" s="417">
        <v>94500</v>
      </c>
      <c r="F147" s="418">
        <v>100190</v>
      </c>
      <c r="G147" s="527">
        <f t="shared" si="29"/>
        <v>106.02116402116401</v>
      </c>
      <c r="I147" s="592"/>
      <c r="J147" s="596"/>
    </row>
    <row r="148" spans="2:10" ht="37.5" customHeight="1" x14ac:dyDescent="0.2">
      <c r="B148" s="407">
        <v>722582</v>
      </c>
      <c r="C148" s="432" t="s">
        <v>227</v>
      </c>
      <c r="D148" s="409">
        <v>4490</v>
      </c>
      <c r="E148" s="409">
        <v>4490</v>
      </c>
      <c r="F148" s="410">
        <v>4610</v>
      </c>
      <c r="G148" s="526">
        <f t="shared" si="29"/>
        <v>102.67260579064587</v>
      </c>
      <c r="J148" s="49"/>
    </row>
    <row r="149" spans="2:10" ht="26.25" customHeight="1" x14ac:dyDescent="0.2">
      <c r="B149" s="407">
        <v>722583</v>
      </c>
      <c r="C149" s="432" t="s">
        <v>228</v>
      </c>
      <c r="D149" s="409">
        <v>80</v>
      </c>
      <c r="E149" s="409">
        <v>80</v>
      </c>
      <c r="F149" s="410">
        <v>80</v>
      </c>
      <c r="G149" s="526">
        <f t="shared" si="29"/>
        <v>100</v>
      </c>
      <c r="J149" s="49"/>
    </row>
    <row r="150" spans="2:10" ht="25.5" x14ac:dyDescent="0.2">
      <c r="B150" s="407">
        <v>722584</v>
      </c>
      <c r="C150" s="432" t="s">
        <v>229</v>
      </c>
      <c r="D150" s="409">
        <v>180</v>
      </c>
      <c r="E150" s="409">
        <v>180</v>
      </c>
      <c r="F150" s="410">
        <v>200</v>
      </c>
      <c r="G150" s="526">
        <f t="shared" si="29"/>
        <v>111.11111111111111</v>
      </c>
      <c r="J150" s="49"/>
    </row>
    <row r="151" spans="2:10" ht="25.5" x14ac:dyDescent="0.2">
      <c r="B151" s="407">
        <v>722585</v>
      </c>
      <c r="C151" s="432" t="s">
        <v>230</v>
      </c>
      <c r="D151" s="409">
        <v>6450</v>
      </c>
      <c r="E151" s="409">
        <v>6450</v>
      </c>
      <c r="F151" s="410">
        <v>7360</v>
      </c>
      <c r="G151" s="526">
        <f t="shared" si="29"/>
        <v>114.10852713178295</v>
      </c>
      <c r="J151" s="49"/>
    </row>
    <row r="152" spans="2:10" ht="25.5" x14ac:dyDescent="0.2">
      <c r="B152" s="407">
        <v>722586</v>
      </c>
      <c r="C152" s="432" t="s">
        <v>231</v>
      </c>
      <c r="D152" s="409">
        <v>1110</v>
      </c>
      <c r="E152" s="409">
        <v>1110</v>
      </c>
      <c r="F152" s="410">
        <v>1500</v>
      </c>
      <c r="G152" s="526">
        <f t="shared" si="29"/>
        <v>135.13513513513513</v>
      </c>
      <c r="J152" s="49"/>
    </row>
    <row r="153" spans="2:10" ht="15" customHeight="1" x14ac:dyDescent="0.2">
      <c r="B153" s="403">
        <v>722600</v>
      </c>
      <c r="C153" s="404" t="s">
        <v>232</v>
      </c>
      <c r="D153" s="405">
        <f>SUM(D154:D165)</f>
        <v>518870</v>
      </c>
      <c r="E153" s="405">
        <f>SUM(E154:E165)</f>
        <v>518870</v>
      </c>
      <c r="F153" s="406">
        <f>SUM(F154:F165)</f>
        <v>508570</v>
      </c>
      <c r="G153" s="525">
        <f t="shared" si="29"/>
        <v>98.014917031240969</v>
      </c>
      <c r="H153" s="334"/>
      <c r="J153" s="49"/>
    </row>
    <row r="154" spans="2:10" ht="15" customHeight="1" x14ac:dyDescent="0.2">
      <c r="B154" s="407">
        <v>722611</v>
      </c>
      <c r="C154" s="423" t="s">
        <v>233</v>
      </c>
      <c r="D154" s="409">
        <v>108830</v>
      </c>
      <c r="E154" s="409">
        <v>108830</v>
      </c>
      <c r="F154" s="410">
        <v>101890</v>
      </c>
      <c r="G154" s="526">
        <f t="shared" si="29"/>
        <v>93.623081870807681</v>
      </c>
      <c r="J154" s="49"/>
    </row>
    <row r="155" spans="2:10" ht="15" customHeight="1" x14ac:dyDescent="0.2">
      <c r="B155" s="407">
        <v>722612</v>
      </c>
      <c r="C155" s="423" t="s">
        <v>234</v>
      </c>
      <c r="D155" s="409">
        <v>72460</v>
      </c>
      <c r="E155" s="409">
        <v>72460</v>
      </c>
      <c r="F155" s="410">
        <v>65270</v>
      </c>
      <c r="G155" s="526">
        <f t="shared" si="29"/>
        <v>90.077284018768978</v>
      </c>
      <c r="J155" s="49"/>
    </row>
    <row r="156" spans="2:10" ht="15" customHeight="1" x14ac:dyDescent="0.2">
      <c r="B156" s="407">
        <v>722613</v>
      </c>
      <c r="C156" s="423" t="s">
        <v>235</v>
      </c>
      <c r="D156" s="409">
        <v>16150</v>
      </c>
      <c r="E156" s="409">
        <v>16150</v>
      </c>
      <c r="F156" s="410">
        <v>16050</v>
      </c>
      <c r="G156" s="526">
        <f t="shared" si="29"/>
        <v>99.380804953560371</v>
      </c>
      <c r="J156" s="49"/>
    </row>
    <row r="157" spans="2:10" ht="15" customHeight="1" x14ac:dyDescent="0.2">
      <c r="B157" s="407">
        <v>722621</v>
      </c>
      <c r="C157" s="423" t="s">
        <v>236</v>
      </c>
      <c r="D157" s="409">
        <v>198660</v>
      </c>
      <c r="E157" s="409">
        <v>198660</v>
      </c>
      <c r="F157" s="410">
        <v>200050</v>
      </c>
      <c r="G157" s="526">
        <f t="shared" si="29"/>
        <v>100.69968790899024</v>
      </c>
      <c r="J157" s="49"/>
    </row>
    <row r="158" spans="2:10" ht="15" customHeight="1" x14ac:dyDescent="0.2">
      <c r="B158" s="407">
        <v>722631</v>
      </c>
      <c r="C158" s="423" t="s">
        <v>786</v>
      </c>
      <c r="D158" s="409">
        <v>6780</v>
      </c>
      <c r="E158" s="409">
        <v>6780</v>
      </c>
      <c r="F158" s="410">
        <v>5870</v>
      </c>
      <c r="G158" s="526">
        <f t="shared" si="29"/>
        <v>86.578171091445427</v>
      </c>
      <c r="J158" s="49"/>
    </row>
    <row r="159" spans="2:10" ht="15" customHeight="1" x14ac:dyDescent="0.2">
      <c r="B159" s="407">
        <v>722632</v>
      </c>
      <c r="C159" s="423" t="s">
        <v>237</v>
      </c>
      <c r="D159" s="409">
        <v>0</v>
      </c>
      <c r="E159" s="409">
        <v>0</v>
      </c>
      <c r="F159" s="410">
        <v>0</v>
      </c>
      <c r="G159" s="526" t="str">
        <f t="shared" si="29"/>
        <v/>
      </c>
      <c r="J159" s="49"/>
    </row>
    <row r="160" spans="2:10" ht="15" customHeight="1" x14ac:dyDescent="0.2">
      <c r="B160" s="407">
        <v>722645</v>
      </c>
      <c r="C160" s="432" t="s">
        <v>848</v>
      </c>
      <c r="D160" s="409">
        <v>30</v>
      </c>
      <c r="E160" s="409">
        <v>30</v>
      </c>
      <c r="F160" s="410">
        <v>30</v>
      </c>
      <c r="G160" s="526">
        <f t="shared" ref="G160" si="35">IF(E160=0,"",F160/E160*100)</f>
        <v>100</v>
      </c>
      <c r="J160" s="49"/>
    </row>
    <row r="161" spans="2:10" ht="15" customHeight="1" x14ac:dyDescent="0.2">
      <c r="B161" s="407">
        <v>722651</v>
      </c>
      <c r="C161" s="432" t="s">
        <v>849</v>
      </c>
      <c r="D161" s="409">
        <v>620</v>
      </c>
      <c r="E161" s="409">
        <v>620</v>
      </c>
      <c r="F161" s="410">
        <v>500</v>
      </c>
      <c r="G161" s="526">
        <f t="shared" ref="G161:G162" si="36">IF(E161=0,"",F161/E161*100)</f>
        <v>80.645161290322577</v>
      </c>
      <c r="J161" s="49"/>
    </row>
    <row r="162" spans="2:10" ht="15" customHeight="1" x14ac:dyDescent="0.2">
      <c r="B162" s="407">
        <v>722654</v>
      </c>
      <c r="C162" s="432" t="s">
        <v>850</v>
      </c>
      <c r="D162" s="409">
        <v>840</v>
      </c>
      <c r="E162" s="409">
        <v>840</v>
      </c>
      <c r="F162" s="410">
        <v>750</v>
      </c>
      <c r="G162" s="526">
        <f t="shared" si="36"/>
        <v>89.285714285714292</v>
      </c>
      <c r="J162" s="49"/>
    </row>
    <row r="163" spans="2:10" ht="25.5" customHeight="1" x14ac:dyDescent="0.2">
      <c r="B163" s="407">
        <v>722655</v>
      </c>
      <c r="C163" s="432" t="s">
        <v>851</v>
      </c>
      <c r="D163" s="409">
        <v>3120</v>
      </c>
      <c r="E163" s="409">
        <v>3120</v>
      </c>
      <c r="F163" s="410">
        <v>2800</v>
      </c>
      <c r="G163" s="526">
        <f t="shared" ref="G163" si="37">IF(E163=0,"",F163/E163*100)</f>
        <v>89.743589743589752</v>
      </c>
      <c r="J163" s="49"/>
    </row>
    <row r="164" spans="2:10" ht="27" customHeight="1" x14ac:dyDescent="0.2">
      <c r="B164" s="407">
        <v>722656</v>
      </c>
      <c r="C164" s="432" t="s">
        <v>785</v>
      </c>
      <c r="D164" s="409">
        <v>320</v>
      </c>
      <c r="E164" s="409">
        <v>320</v>
      </c>
      <c r="F164" s="410">
        <v>350</v>
      </c>
      <c r="G164" s="526">
        <f t="shared" ref="G164" si="38">IF(E164=0,"",F164/E164*100)</f>
        <v>109.375</v>
      </c>
      <c r="J164" s="49"/>
    </row>
    <row r="165" spans="2:10" ht="15" customHeight="1" x14ac:dyDescent="0.2">
      <c r="B165" s="407">
        <v>722659</v>
      </c>
      <c r="C165" s="432" t="s">
        <v>852</v>
      </c>
      <c r="D165" s="409">
        <v>111060</v>
      </c>
      <c r="E165" s="409">
        <v>111060</v>
      </c>
      <c r="F165" s="410">
        <v>115010</v>
      </c>
      <c r="G165" s="526">
        <f t="shared" ref="G165" si="39">IF(E165=0,"",F165/E165*100)</f>
        <v>103.55663605258418</v>
      </c>
      <c r="J165" s="49"/>
    </row>
    <row r="166" spans="2:10" ht="15" customHeight="1" x14ac:dyDescent="0.2">
      <c r="B166" s="403">
        <v>722700</v>
      </c>
      <c r="C166" s="404" t="s">
        <v>790</v>
      </c>
      <c r="D166" s="405">
        <f>SUM(D167:D172)</f>
        <v>45210</v>
      </c>
      <c r="E166" s="405">
        <f t="shared" ref="E166:F166" si="40">SUM(E167:E172)</f>
        <v>45210</v>
      </c>
      <c r="F166" s="406">
        <f t="shared" si="40"/>
        <v>40540</v>
      </c>
      <c r="G166" s="525">
        <f t="shared" ref="G166" si="41">IF(E166=0,"",F166/E166*100)</f>
        <v>89.670426896704271</v>
      </c>
      <c r="H166" s="247"/>
      <c r="J166" s="49"/>
    </row>
    <row r="167" spans="2:10" ht="15" customHeight="1" x14ac:dyDescent="0.2">
      <c r="B167" s="407">
        <v>722711</v>
      </c>
      <c r="C167" s="423" t="s">
        <v>900</v>
      </c>
      <c r="D167" s="409">
        <v>0</v>
      </c>
      <c r="E167" s="409">
        <v>0</v>
      </c>
      <c r="F167" s="410">
        <v>1750</v>
      </c>
      <c r="G167" s="526" t="str">
        <f t="shared" si="29"/>
        <v/>
      </c>
      <c r="J167" s="49"/>
    </row>
    <row r="168" spans="2:10" ht="15" customHeight="1" x14ac:dyDescent="0.2">
      <c r="B168" s="407">
        <v>722715</v>
      </c>
      <c r="C168" s="423" t="s">
        <v>238</v>
      </c>
      <c r="D168" s="409">
        <v>2060</v>
      </c>
      <c r="E168" s="409">
        <v>2060</v>
      </c>
      <c r="F168" s="410">
        <v>520</v>
      </c>
      <c r="G168" s="526">
        <f t="shared" si="29"/>
        <v>25.242718446601941</v>
      </c>
      <c r="J168" s="49"/>
    </row>
    <row r="169" spans="2:10" ht="15" customHeight="1" x14ac:dyDescent="0.2">
      <c r="B169" s="407">
        <v>722719</v>
      </c>
      <c r="C169" s="423" t="s">
        <v>239</v>
      </c>
      <c r="D169" s="409">
        <v>31650</v>
      </c>
      <c r="E169" s="409">
        <v>31650</v>
      </c>
      <c r="F169" s="410">
        <v>28770</v>
      </c>
      <c r="G169" s="526">
        <f t="shared" si="29"/>
        <v>90.90047393364928</v>
      </c>
      <c r="J169" s="49"/>
    </row>
    <row r="170" spans="2:10" ht="15" customHeight="1" x14ac:dyDescent="0.2">
      <c r="B170" s="407">
        <v>722732</v>
      </c>
      <c r="C170" s="423" t="s">
        <v>240</v>
      </c>
      <c r="D170" s="409">
        <v>0</v>
      </c>
      <c r="E170" s="409">
        <v>0</v>
      </c>
      <c r="F170" s="410">
        <v>0</v>
      </c>
      <c r="G170" s="526" t="str">
        <f t="shared" si="29"/>
        <v/>
      </c>
      <c r="J170" s="49"/>
    </row>
    <row r="171" spans="2:10" ht="15" customHeight="1" x14ac:dyDescent="0.2">
      <c r="B171" s="407">
        <v>722741</v>
      </c>
      <c r="C171" s="423" t="s">
        <v>241</v>
      </c>
      <c r="D171" s="409">
        <v>0</v>
      </c>
      <c r="E171" s="409">
        <v>0</v>
      </c>
      <c r="F171" s="410">
        <v>0</v>
      </c>
      <c r="G171" s="526" t="str">
        <f t="shared" ref="G171" si="42">IF(E171=0,"",F171/E171*100)</f>
        <v/>
      </c>
      <c r="J171" s="49"/>
    </row>
    <row r="172" spans="2:10" ht="15" customHeight="1" x14ac:dyDescent="0.2">
      <c r="B172" s="407">
        <v>722791</v>
      </c>
      <c r="C172" s="423" t="s">
        <v>242</v>
      </c>
      <c r="D172" s="409">
        <v>11500</v>
      </c>
      <c r="E172" s="409">
        <v>11500</v>
      </c>
      <c r="F172" s="410">
        <v>9500</v>
      </c>
      <c r="G172" s="526">
        <f t="shared" si="29"/>
        <v>82.608695652173907</v>
      </c>
      <c r="H172" s="247"/>
      <c r="J172" s="49"/>
    </row>
    <row r="173" spans="2:10" ht="17.100000000000001" customHeight="1" x14ac:dyDescent="0.2">
      <c r="B173" s="396">
        <v>723000</v>
      </c>
      <c r="C173" s="400" t="s">
        <v>243</v>
      </c>
      <c r="D173" s="401">
        <f>D174</f>
        <v>960510</v>
      </c>
      <c r="E173" s="401">
        <f>E174</f>
        <v>960510</v>
      </c>
      <c r="F173" s="402">
        <f t="shared" ref="F173" si="43">F174</f>
        <v>815560</v>
      </c>
      <c r="G173" s="524">
        <f t="shared" si="29"/>
        <v>84.909058729216767</v>
      </c>
      <c r="H173" s="247"/>
      <c r="J173" s="49"/>
    </row>
    <row r="174" spans="2:10" ht="15" customHeight="1" x14ac:dyDescent="0.2">
      <c r="B174" s="403">
        <v>723100</v>
      </c>
      <c r="C174" s="431" t="s">
        <v>244</v>
      </c>
      <c r="D174" s="427">
        <f>D175+D176+D177+D178+D179</f>
        <v>960510</v>
      </c>
      <c r="E174" s="427">
        <f>E175+E176+E177+E178+E179</f>
        <v>960510</v>
      </c>
      <c r="F174" s="428">
        <f>F175+F176+F177+F178+F179</f>
        <v>815560</v>
      </c>
      <c r="G174" s="526">
        <f t="shared" si="29"/>
        <v>84.909058729216767</v>
      </c>
      <c r="J174" s="49"/>
    </row>
    <row r="175" spans="2:10" ht="15" customHeight="1" x14ac:dyDescent="0.2">
      <c r="B175" s="407">
        <v>723121</v>
      </c>
      <c r="C175" s="423" t="s">
        <v>245</v>
      </c>
      <c r="D175" s="409">
        <v>300</v>
      </c>
      <c r="E175" s="409">
        <v>300</v>
      </c>
      <c r="F175" s="410">
        <v>300</v>
      </c>
      <c r="G175" s="526">
        <f t="shared" si="29"/>
        <v>100</v>
      </c>
      <c r="J175" s="49"/>
    </row>
    <row r="176" spans="2:10" ht="15" customHeight="1" x14ac:dyDescent="0.2">
      <c r="B176" s="407">
        <v>723122</v>
      </c>
      <c r="C176" s="423" t="s">
        <v>246</v>
      </c>
      <c r="D176" s="409">
        <v>0</v>
      </c>
      <c r="E176" s="409">
        <v>0</v>
      </c>
      <c r="F176" s="410">
        <v>0</v>
      </c>
      <c r="G176" s="549" t="str">
        <f t="shared" si="29"/>
        <v/>
      </c>
      <c r="J176" s="49"/>
    </row>
    <row r="177" spans="2:10" ht="25.5" x14ac:dyDescent="0.2">
      <c r="B177" s="407">
        <v>723123</v>
      </c>
      <c r="C177" s="432" t="s">
        <v>247</v>
      </c>
      <c r="D177" s="409">
        <v>949500</v>
      </c>
      <c r="E177" s="409">
        <v>949500</v>
      </c>
      <c r="F177" s="410">
        <f>807460-2350</f>
        <v>805110</v>
      </c>
      <c r="G177" s="526">
        <f t="shared" si="29"/>
        <v>84.793048973143755</v>
      </c>
      <c r="H177" s="247"/>
      <c r="J177" s="49"/>
    </row>
    <row r="178" spans="2:10" ht="15" customHeight="1" x14ac:dyDescent="0.2">
      <c r="B178" s="419">
        <v>723129</v>
      </c>
      <c r="C178" s="435" t="s">
        <v>248</v>
      </c>
      <c r="D178" s="421">
        <v>8350</v>
      </c>
      <c r="E178" s="421">
        <v>8350</v>
      </c>
      <c r="F178" s="422">
        <v>8150</v>
      </c>
      <c r="G178" s="528">
        <f t="shared" si="29"/>
        <v>97.604790419161674</v>
      </c>
      <c r="J178" s="49"/>
    </row>
    <row r="179" spans="2:10" ht="27" customHeight="1" x14ac:dyDescent="0.2">
      <c r="B179" s="419">
        <v>723142</v>
      </c>
      <c r="C179" s="434" t="s">
        <v>784</v>
      </c>
      <c r="D179" s="421">
        <v>2360</v>
      </c>
      <c r="E179" s="421">
        <v>2360</v>
      </c>
      <c r="F179" s="422">
        <v>2000</v>
      </c>
      <c r="G179" s="528">
        <f t="shared" ref="G179" si="44">IF(E179=0,"",F179/E179*100)</f>
        <v>84.745762711864401</v>
      </c>
      <c r="J179" s="49"/>
    </row>
    <row r="180" spans="2:10" x14ac:dyDescent="0.2">
      <c r="B180" s="407"/>
      <c r="C180" s="432"/>
      <c r="D180" s="409"/>
      <c r="E180" s="409"/>
      <c r="F180" s="410"/>
      <c r="G180" s="526" t="str">
        <f t="shared" si="29"/>
        <v/>
      </c>
      <c r="J180" s="49"/>
    </row>
    <row r="181" spans="2:10" ht="17.100000000000001" customHeight="1" x14ac:dyDescent="0.2">
      <c r="B181" s="623" t="s">
        <v>249</v>
      </c>
      <c r="C181" s="624"/>
      <c r="D181" s="436">
        <f>D5+D62</f>
        <v>60859296</v>
      </c>
      <c r="E181" s="436">
        <f>E5+E62</f>
        <v>60859296</v>
      </c>
      <c r="F181" s="437">
        <f>F5+F62</f>
        <v>64406080</v>
      </c>
      <c r="G181" s="529">
        <f t="shared" si="29"/>
        <v>105.82784263557699</v>
      </c>
      <c r="J181" s="49"/>
    </row>
    <row r="182" spans="2:10" x14ac:dyDescent="0.2">
      <c r="B182" s="438"/>
      <c r="C182" s="439"/>
      <c r="D182" s="440"/>
      <c r="E182" s="440"/>
      <c r="F182" s="441"/>
      <c r="G182" s="526" t="str">
        <f t="shared" si="29"/>
        <v/>
      </c>
      <c r="J182" s="49"/>
    </row>
    <row r="183" spans="2:10" ht="17.100000000000001" customHeight="1" x14ac:dyDescent="0.2">
      <c r="B183" s="396">
        <v>730000</v>
      </c>
      <c r="C183" s="400" t="s">
        <v>250</v>
      </c>
      <c r="D183" s="398">
        <f>D184+D188+D207</f>
        <v>7892901</v>
      </c>
      <c r="E183" s="398">
        <f>E184+E188+E207</f>
        <v>7892901</v>
      </c>
      <c r="F183" s="399">
        <f>F184+F188+F207</f>
        <v>7609320</v>
      </c>
      <c r="G183" s="523">
        <f t="shared" si="29"/>
        <v>96.407138515990511</v>
      </c>
      <c r="J183" s="49"/>
    </row>
    <row r="184" spans="2:10" ht="25.5" x14ac:dyDescent="0.2">
      <c r="B184" s="396">
        <v>731000</v>
      </c>
      <c r="C184" s="400" t="s">
        <v>251</v>
      </c>
      <c r="D184" s="401">
        <f>D185</f>
        <v>0</v>
      </c>
      <c r="E184" s="401">
        <f>E185</f>
        <v>0</v>
      </c>
      <c r="F184" s="402">
        <f>F185</f>
        <v>0</v>
      </c>
      <c r="G184" s="524" t="str">
        <f t="shared" si="29"/>
        <v/>
      </c>
      <c r="J184" s="49"/>
    </row>
    <row r="185" spans="2:10" ht="15" customHeight="1" x14ac:dyDescent="0.2">
      <c r="B185" s="425">
        <v>731100</v>
      </c>
      <c r="C185" s="426" t="s">
        <v>252</v>
      </c>
      <c r="D185" s="427">
        <f>D186+D187</f>
        <v>0</v>
      </c>
      <c r="E185" s="427">
        <f>E186+E187</f>
        <v>0</v>
      </c>
      <c r="F185" s="428">
        <f>F186+F187</f>
        <v>0</v>
      </c>
      <c r="G185" s="525" t="str">
        <f t="shared" si="29"/>
        <v/>
      </c>
      <c r="J185" s="49"/>
    </row>
    <row r="186" spans="2:10" ht="15" customHeight="1" x14ac:dyDescent="0.2">
      <c r="B186" s="407">
        <v>731111</v>
      </c>
      <c r="C186" s="408" t="s">
        <v>253</v>
      </c>
      <c r="D186" s="409">
        <v>0</v>
      </c>
      <c r="E186" s="409">
        <v>0</v>
      </c>
      <c r="F186" s="410">
        <v>0</v>
      </c>
      <c r="G186" s="526" t="str">
        <f t="shared" si="29"/>
        <v/>
      </c>
      <c r="J186" s="49"/>
    </row>
    <row r="187" spans="2:10" ht="15" customHeight="1" x14ac:dyDescent="0.2">
      <c r="B187" s="407">
        <v>731121</v>
      </c>
      <c r="C187" s="408" t="s">
        <v>254</v>
      </c>
      <c r="D187" s="409">
        <v>0</v>
      </c>
      <c r="E187" s="409">
        <v>0</v>
      </c>
      <c r="F187" s="410">
        <v>0</v>
      </c>
      <c r="G187" s="526" t="str">
        <f t="shared" si="29"/>
        <v/>
      </c>
      <c r="J187" s="49"/>
    </row>
    <row r="188" spans="2:10" ht="17.100000000000001" customHeight="1" x14ac:dyDescent="0.2">
      <c r="B188" s="442">
        <v>732000</v>
      </c>
      <c r="C188" s="400" t="s">
        <v>255</v>
      </c>
      <c r="D188" s="401">
        <f>D189</f>
        <v>7892901</v>
      </c>
      <c r="E188" s="401">
        <f>E189</f>
        <v>7892901</v>
      </c>
      <c r="F188" s="402">
        <f>F189</f>
        <v>7609320</v>
      </c>
      <c r="G188" s="524">
        <f t="shared" si="29"/>
        <v>96.407138515990511</v>
      </c>
      <c r="J188" s="49"/>
    </row>
    <row r="189" spans="2:10" ht="15" customHeight="1" x14ac:dyDescent="0.2">
      <c r="B189" s="425">
        <v>732100</v>
      </c>
      <c r="C189" s="426" t="s">
        <v>256</v>
      </c>
      <c r="D189" s="427">
        <f>D190+D204</f>
        <v>7892901</v>
      </c>
      <c r="E189" s="427">
        <f>E190+E204</f>
        <v>7892901</v>
      </c>
      <c r="F189" s="428">
        <f>F190+F204</f>
        <v>7609320</v>
      </c>
      <c r="G189" s="525">
        <f t="shared" si="29"/>
        <v>96.407138515990511</v>
      </c>
      <c r="J189" s="49"/>
    </row>
    <row r="190" spans="2:10" ht="15" customHeight="1" x14ac:dyDescent="0.2">
      <c r="B190" s="403">
        <v>732110</v>
      </c>
      <c r="C190" s="411" t="s">
        <v>257</v>
      </c>
      <c r="D190" s="405">
        <f>D191+D192</f>
        <v>7776329</v>
      </c>
      <c r="E190" s="405">
        <f>E191+E192</f>
        <v>7776329</v>
      </c>
      <c r="F190" s="406">
        <f t="shared" ref="F190" si="45">F191+F192</f>
        <v>7471320</v>
      </c>
      <c r="G190" s="525">
        <f t="shared" si="29"/>
        <v>96.077725106538054</v>
      </c>
      <c r="J190" s="49"/>
    </row>
    <row r="191" spans="2:10" ht="15" customHeight="1" x14ac:dyDescent="0.2">
      <c r="B191" s="407">
        <v>732111</v>
      </c>
      <c r="C191" s="408" t="s">
        <v>258</v>
      </c>
      <c r="D191" s="409">
        <v>0</v>
      </c>
      <c r="E191" s="409">
        <v>0</v>
      </c>
      <c r="F191" s="410">
        <v>0</v>
      </c>
      <c r="G191" s="526" t="str">
        <f t="shared" si="29"/>
        <v/>
      </c>
      <c r="J191" s="49"/>
    </row>
    <row r="192" spans="2:10" ht="15" customHeight="1" x14ac:dyDescent="0.2">
      <c r="B192" s="407">
        <v>732112</v>
      </c>
      <c r="C192" s="408" t="s">
        <v>259</v>
      </c>
      <c r="D192" s="409">
        <f>D193+D194+D195+D196+D197+D198+D199+D202+D203</f>
        <v>7776329</v>
      </c>
      <c r="E192" s="409">
        <f>E193+E194+E195+E196+E197+E198+E199+E202+E203</f>
        <v>7776329</v>
      </c>
      <c r="F192" s="410">
        <f>F193+F194+F195+F196+F197+F199+F202+F203</f>
        <v>7471320</v>
      </c>
      <c r="G192" s="526">
        <f t="shared" si="29"/>
        <v>96.077725106538054</v>
      </c>
      <c r="J192" s="49"/>
    </row>
    <row r="193" spans="2:10" s="306" customFormat="1" ht="25.5" customHeight="1" x14ac:dyDescent="0.2">
      <c r="B193" s="415"/>
      <c r="C193" s="443" t="s">
        <v>853</v>
      </c>
      <c r="D193" s="417">
        <v>4862</v>
      </c>
      <c r="E193" s="417">
        <v>4862</v>
      </c>
      <c r="F193" s="418">
        <v>0</v>
      </c>
      <c r="G193" s="527">
        <f t="shared" si="29"/>
        <v>0</v>
      </c>
      <c r="I193" s="590"/>
      <c r="J193" s="596"/>
    </row>
    <row r="194" spans="2:10" s="306" customFormat="1" ht="25.5" x14ac:dyDescent="0.2">
      <c r="B194" s="415"/>
      <c r="C194" s="429" t="s">
        <v>854</v>
      </c>
      <c r="D194" s="417">
        <v>229870</v>
      </c>
      <c r="E194" s="417">
        <v>229870</v>
      </c>
      <c r="F194" s="418">
        <f>22610*12</f>
        <v>271320</v>
      </c>
      <c r="G194" s="527">
        <f t="shared" si="29"/>
        <v>118.03193109148648</v>
      </c>
      <c r="I194" s="590"/>
      <c r="J194" s="596"/>
    </row>
    <row r="195" spans="2:10" s="306" customFormat="1" ht="25.5" x14ac:dyDescent="0.2">
      <c r="B195" s="415"/>
      <c r="C195" s="429" t="s">
        <v>855</v>
      </c>
      <c r="D195" s="417">
        <v>90000</v>
      </c>
      <c r="E195" s="417">
        <v>90000</v>
      </c>
      <c r="F195" s="418">
        <v>100000</v>
      </c>
      <c r="G195" s="527">
        <f t="shared" ref="G195:G198" si="46">IF(E195=0,"",F195/E195*100)</f>
        <v>111.11111111111111</v>
      </c>
      <c r="I195" s="590"/>
    </row>
    <row r="196" spans="2:10" s="306" customFormat="1" ht="51" x14ac:dyDescent="0.2">
      <c r="B196" s="415"/>
      <c r="C196" s="429" t="s">
        <v>856</v>
      </c>
      <c r="D196" s="417">
        <v>26362</v>
      </c>
      <c r="E196" s="417">
        <v>26362</v>
      </c>
      <c r="F196" s="418">
        <v>0</v>
      </c>
      <c r="G196" s="527">
        <f t="shared" si="46"/>
        <v>0</v>
      </c>
      <c r="I196" s="590"/>
    </row>
    <row r="197" spans="2:10" s="306" customFormat="1" ht="38.25" x14ac:dyDescent="0.2">
      <c r="B197" s="415"/>
      <c r="C197" s="429" t="s">
        <v>857</v>
      </c>
      <c r="D197" s="417">
        <v>331720</v>
      </c>
      <c r="E197" s="417">
        <v>331720</v>
      </c>
      <c r="F197" s="418">
        <v>0</v>
      </c>
      <c r="G197" s="527">
        <f t="shared" si="46"/>
        <v>0</v>
      </c>
      <c r="I197" s="590"/>
    </row>
    <row r="198" spans="2:10" s="306" customFormat="1" ht="44.25" customHeight="1" x14ac:dyDescent="0.2">
      <c r="B198" s="415"/>
      <c r="C198" s="429" t="s">
        <v>862</v>
      </c>
      <c r="D198" s="417">
        <v>143816</v>
      </c>
      <c r="E198" s="417">
        <v>143816</v>
      </c>
      <c r="F198" s="418">
        <v>0</v>
      </c>
      <c r="G198" s="527">
        <f t="shared" si="46"/>
        <v>0</v>
      </c>
      <c r="I198" s="590"/>
    </row>
    <row r="199" spans="2:10" s="306" customFormat="1" ht="26.25" customHeight="1" x14ac:dyDescent="0.2">
      <c r="B199" s="415"/>
      <c r="C199" s="429" t="s">
        <v>861</v>
      </c>
      <c r="D199" s="417">
        <f>D200+D201</f>
        <v>1628319</v>
      </c>
      <c r="E199" s="417">
        <f>E200+E201</f>
        <v>1628319</v>
      </c>
      <c r="F199" s="418">
        <f>F200+F201</f>
        <v>0</v>
      </c>
      <c r="G199" s="527">
        <f t="shared" ref="G199:G201" si="47">IF(E199=0,"",F199/E199*100)</f>
        <v>0</v>
      </c>
      <c r="I199" s="590"/>
    </row>
    <row r="200" spans="2:10" s="306" customFormat="1" ht="17.100000000000001" customHeight="1" x14ac:dyDescent="0.2">
      <c r="B200" s="415"/>
      <c r="C200" s="429" t="s">
        <v>798</v>
      </c>
      <c r="D200" s="417">
        <v>0</v>
      </c>
      <c r="E200" s="417">
        <v>0</v>
      </c>
      <c r="F200" s="418">
        <v>0</v>
      </c>
      <c r="G200" s="527" t="str">
        <f t="shared" si="47"/>
        <v/>
      </c>
      <c r="I200" s="590"/>
      <c r="J200" s="597"/>
    </row>
    <row r="201" spans="2:10" s="306" customFormat="1" ht="17.100000000000001" customHeight="1" x14ac:dyDescent="0.2">
      <c r="B201" s="415"/>
      <c r="C201" s="429" t="s">
        <v>858</v>
      </c>
      <c r="D201" s="417">
        <v>1628319</v>
      </c>
      <c r="E201" s="417">
        <v>1628319</v>
      </c>
      <c r="F201" s="418">
        <v>0</v>
      </c>
      <c r="G201" s="527">
        <f t="shared" si="47"/>
        <v>0</v>
      </c>
      <c r="I201" s="590"/>
      <c r="J201" s="597"/>
    </row>
    <row r="202" spans="2:10" s="306" customFormat="1" ht="26.25" customHeight="1" x14ac:dyDescent="0.2">
      <c r="B202" s="415"/>
      <c r="C202" s="429" t="s">
        <v>859</v>
      </c>
      <c r="D202" s="417">
        <v>5321380</v>
      </c>
      <c r="E202" s="417">
        <v>5321380</v>
      </c>
      <c r="F202" s="418">
        <v>0</v>
      </c>
      <c r="G202" s="527">
        <f t="shared" ref="G202:G209" si="48">IF(E202=0,"",F202/E202*100)</f>
        <v>0</v>
      </c>
      <c r="I202" s="590"/>
    </row>
    <row r="203" spans="2:10" s="306" customFormat="1" ht="27.75" customHeight="1" x14ac:dyDescent="0.2">
      <c r="B203" s="415"/>
      <c r="C203" s="429" t="s">
        <v>860</v>
      </c>
      <c r="D203" s="417">
        <v>0</v>
      </c>
      <c r="E203" s="417">
        <v>0</v>
      </c>
      <c r="F203" s="418">
        <v>7100000</v>
      </c>
      <c r="G203" s="527" t="str">
        <f t="shared" ref="G203" si="49">IF(E203=0,"",F203/E203*100)</f>
        <v/>
      </c>
      <c r="I203" s="590"/>
    </row>
    <row r="204" spans="2:10" ht="15" customHeight="1" x14ac:dyDescent="0.2">
      <c r="B204" s="403">
        <v>732130</v>
      </c>
      <c r="C204" s="411" t="s">
        <v>260</v>
      </c>
      <c r="D204" s="405">
        <f>SUM(D205:D206)</f>
        <v>116572</v>
      </c>
      <c r="E204" s="405">
        <f>SUM(E205:E206)</f>
        <v>116572</v>
      </c>
      <c r="F204" s="406">
        <f>SUM(F205:F206)</f>
        <v>138000</v>
      </c>
      <c r="G204" s="525">
        <f t="shared" si="48"/>
        <v>118.38177263836943</v>
      </c>
    </row>
    <row r="205" spans="2:10" ht="15" customHeight="1" x14ac:dyDescent="0.2">
      <c r="B205" s="407">
        <v>732131</v>
      </c>
      <c r="C205" s="408" t="s">
        <v>261</v>
      </c>
      <c r="D205" s="409">
        <v>53372</v>
      </c>
      <c r="E205" s="409">
        <v>53372</v>
      </c>
      <c r="F205" s="410">
        <f>10*12*550</f>
        <v>66000</v>
      </c>
      <c r="G205" s="526">
        <f t="shared" si="48"/>
        <v>123.66034624896949</v>
      </c>
      <c r="H205" s="247"/>
    </row>
    <row r="206" spans="2:10" ht="15" customHeight="1" x14ac:dyDescent="0.2">
      <c r="B206" s="407">
        <v>732131</v>
      </c>
      <c r="C206" s="408" t="s">
        <v>262</v>
      </c>
      <c r="D206" s="409">
        <v>63200</v>
      </c>
      <c r="E206" s="409">
        <v>63200</v>
      </c>
      <c r="F206" s="410">
        <f>10*800*9</f>
        <v>72000</v>
      </c>
      <c r="G206" s="526">
        <f t="shared" si="48"/>
        <v>113.9240506329114</v>
      </c>
      <c r="H206" s="247"/>
    </row>
    <row r="207" spans="2:10" ht="17.100000000000001" customHeight="1" x14ac:dyDescent="0.2">
      <c r="B207" s="442">
        <v>733000</v>
      </c>
      <c r="C207" s="400" t="s">
        <v>263</v>
      </c>
      <c r="D207" s="401">
        <f>D208</f>
        <v>0</v>
      </c>
      <c r="E207" s="401">
        <f>E208</f>
        <v>0</v>
      </c>
      <c r="F207" s="402">
        <f>F208</f>
        <v>0</v>
      </c>
      <c r="G207" s="524" t="str">
        <f t="shared" si="48"/>
        <v/>
      </c>
    </row>
    <row r="208" spans="2:10" ht="15" customHeight="1" x14ac:dyDescent="0.2">
      <c r="B208" s="425">
        <v>733100</v>
      </c>
      <c r="C208" s="426" t="s">
        <v>264</v>
      </c>
      <c r="D208" s="427">
        <f>D209+D210</f>
        <v>0</v>
      </c>
      <c r="E208" s="427">
        <f>E209+E210</f>
        <v>0</v>
      </c>
      <c r="F208" s="428">
        <f>F209+F210</f>
        <v>0</v>
      </c>
      <c r="G208" s="525" t="str">
        <f t="shared" si="48"/>
        <v/>
      </c>
    </row>
    <row r="209" spans="2:9" ht="15" customHeight="1" x14ac:dyDescent="0.2">
      <c r="B209" s="403">
        <v>733110</v>
      </c>
      <c r="C209" s="411" t="s">
        <v>265</v>
      </c>
      <c r="D209" s="405">
        <v>0</v>
      </c>
      <c r="E209" s="405">
        <v>0</v>
      </c>
      <c r="F209" s="406">
        <v>0</v>
      </c>
      <c r="G209" s="525" t="str">
        <f t="shared" si="48"/>
        <v/>
      </c>
    </row>
    <row r="210" spans="2:9" ht="15" customHeight="1" x14ac:dyDescent="0.2">
      <c r="B210" s="403">
        <v>733120</v>
      </c>
      <c r="C210" s="411" t="s">
        <v>266</v>
      </c>
      <c r="D210" s="405">
        <v>0</v>
      </c>
      <c r="E210" s="405">
        <v>0</v>
      </c>
      <c r="F210" s="406">
        <v>0</v>
      </c>
      <c r="G210" s="525" t="str">
        <f t="shared" ref="G210:G256" si="50">IF(E210=0,"",F210/E210*100)</f>
        <v/>
      </c>
    </row>
    <row r="211" spans="2:9" ht="15" x14ac:dyDescent="0.2">
      <c r="B211" s="444"/>
      <c r="C211" s="404"/>
      <c r="D211" s="405"/>
      <c r="E211" s="405"/>
      <c r="F211" s="406"/>
      <c r="G211" s="526" t="str">
        <f t="shared" si="50"/>
        <v/>
      </c>
    </row>
    <row r="212" spans="2:9" ht="17.100000000000001" customHeight="1" x14ac:dyDescent="0.2">
      <c r="B212" s="396">
        <v>740000</v>
      </c>
      <c r="C212" s="400" t="s">
        <v>267</v>
      </c>
      <c r="D212" s="398">
        <f>D213+D225</f>
        <v>2869073</v>
      </c>
      <c r="E212" s="398">
        <f>E213+E225</f>
        <v>2869073</v>
      </c>
      <c r="F212" s="399">
        <f>F213+F225</f>
        <v>441700</v>
      </c>
      <c r="G212" s="523">
        <f t="shared" si="50"/>
        <v>15.395216503727859</v>
      </c>
    </row>
    <row r="213" spans="2:9" ht="25.5" x14ac:dyDescent="0.2">
      <c r="B213" s="442">
        <v>741000</v>
      </c>
      <c r="C213" s="400" t="s">
        <v>268</v>
      </c>
      <c r="D213" s="401">
        <f t="shared" ref="D213:F214" si="51">D214</f>
        <v>478196</v>
      </c>
      <c r="E213" s="401">
        <f t="shared" si="51"/>
        <v>478196</v>
      </c>
      <c r="F213" s="402">
        <f t="shared" si="51"/>
        <v>234700</v>
      </c>
      <c r="G213" s="524">
        <f t="shared" si="50"/>
        <v>49.080293436164254</v>
      </c>
    </row>
    <row r="214" spans="2:9" ht="25.5" x14ac:dyDescent="0.2">
      <c r="B214" s="425">
        <v>741100</v>
      </c>
      <c r="C214" s="430" t="s">
        <v>269</v>
      </c>
      <c r="D214" s="427">
        <f t="shared" si="51"/>
        <v>478196</v>
      </c>
      <c r="E214" s="427">
        <f t="shared" si="51"/>
        <v>478196</v>
      </c>
      <c r="F214" s="428">
        <f t="shared" si="51"/>
        <v>234700</v>
      </c>
      <c r="G214" s="525">
        <f t="shared" si="50"/>
        <v>49.080293436164254</v>
      </c>
    </row>
    <row r="215" spans="2:9" ht="15" customHeight="1" x14ac:dyDescent="0.2">
      <c r="B215" s="407">
        <v>741111</v>
      </c>
      <c r="C215" s="408" t="s">
        <v>270</v>
      </c>
      <c r="D215" s="409">
        <f>SUM(D216:D224)</f>
        <v>478196</v>
      </c>
      <c r="E215" s="409">
        <f>SUM(E216:E224)</f>
        <v>478196</v>
      </c>
      <c r="F215" s="410">
        <f>SUM(F216:F224)</f>
        <v>234700</v>
      </c>
      <c r="G215" s="526">
        <f t="shared" si="50"/>
        <v>49.080293436164254</v>
      </c>
    </row>
    <row r="216" spans="2:9" ht="29.25" customHeight="1" x14ac:dyDescent="0.2">
      <c r="B216" s="407"/>
      <c r="C216" s="429" t="s">
        <v>863</v>
      </c>
      <c r="D216" s="409">
        <v>185804</v>
      </c>
      <c r="E216" s="409">
        <v>185804</v>
      </c>
      <c r="F216" s="410">
        <v>0</v>
      </c>
      <c r="G216" s="526"/>
    </row>
    <row r="217" spans="2:9" ht="40.5" customHeight="1" x14ac:dyDescent="0.2">
      <c r="B217" s="407"/>
      <c r="C217" s="429" t="s">
        <v>864</v>
      </c>
      <c r="D217" s="409">
        <v>41072</v>
      </c>
      <c r="E217" s="409">
        <v>41072</v>
      </c>
      <c r="F217" s="410">
        <v>0</v>
      </c>
      <c r="G217" s="526"/>
    </row>
    <row r="218" spans="2:9" ht="44.25" customHeight="1" x14ac:dyDescent="0.2">
      <c r="B218" s="407"/>
      <c r="C218" s="429" t="s">
        <v>865</v>
      </c>
      <c r="D218" s="409">
        <v>136909</v>
      </c>
      <c r="E218" s="409">
        <v>136909</v>
      </c>
      <c r="F218" s="410">
        <v>0</v>
      </c>
      <c r="G218" s="526"/>
    </row>
    <row r="219" spans="2:9" ht="54" customHeight="1" x14ac:dyDescent="0.2">
      <c r="B219" s="407"/>
      <c r="C219" s="429" t="s">
        <v>885</v>
      </c>
      <c r="D219" s="409">
        <v>0</v>
      </c>
      <c r="E219" s="409">
        <v>0</v>
      </c>
      <c r="F219" s="410">
        <v>234700</v>
      </c>
      <c r="G219" s="526"/>
    </row>
    <row r="220" spans="2:9" ht="28.5" customHeight="1" x14ac:dyDescent="0.2">
      <c r="B220" s="407"/>
      <c r="C220" s="386" t="s">
        <v>866</v>
      </c>
      <c r="D220" s="409">
        <v>8313</v>
      </c>
      <c r="E220" s="409">
        <v>8313</v>
      </c>
      <c r="F220" s="410">
        <v>0</v>
      </c>
      <c r="G220" s="526"/>
    </row>
    <row r="221" spans="2:9" ht="28.5" customHeight="1" x14ac:dyDescent="0.2">
      <c r="B221" s="407"/>
      <c r="C221" s="429" t="s">
        <v>867</v>
      </c>
      <c r="D221" s="409">
        <v>30121</v>
      </c>
      <c r="E221" s="409">
        <v>30121</v>
      </c>
      <c r="F221" s="410">
        <v>0</v>
      </c>
      <c r="G221" s="526"/>
    </row>
    <row r="222" spans="2:9" s="306" customFormat="1" ht="31.5" customHeight="1" x14ac:dyDescent="0.2">
      <c r="B222" s="415"/>
      <c r="C222" s="429" t="s">
        <v>868</v>
      </c>
      <c r="D222" s="417">
        <v>19801</v>
      </c>
      <c r="E222" s="417">
        <v>19801</v>
      </c>
      <c r="F222" s="418">
        <v>0</v>
      </c>
      <c r="G222" s="527">
        <f t="shared" si="50"/>
        <v>0</v>
      </c>
      <c r="I222" s="590"/>
    </row>
    <row r="223" spans="2:9" s="306" customFormat="1" ht="39" customHeight="1" x14ac:dyDescent="0.2">
      <c r="B223" s="415"/>
      <c r="C223" s="429" t="s">
        <v>869</v>
      </c>
      <c r="D223" s="417">
        <v>9780</v>
      </c>
      <c r="E223" s="417">
        <v>9780</v>
      </c>
      <c r="F223" s="418">
        <v>0</v>
      </c>
      <c r="G223" s="527">
        <f t="shared" ref="G223" si="52">IF(E223=0,"",F223/E223*100)</f>
        <v>0</v>
      </c>
      <c r="I223" s="590"/>
    </row>
    <row r="224" spans="2:9" s="306" customFormat="1" ht="38.25" customHeight="1" x14ac:dyDescent="0.2">
      <c r="B224" s="415"/>
      <c r="C224" s="520" t="s">
        <v>870</v>
      </c>
      <c r="D224" s="417">
        <v>46396</v>
      </c>
      <c r="E224" s="417">
        <v>46396</v>
      </c>
      <c r="F224" s="418">
        <v>0</v>
      </c>
      <c r="G224" s="527">
        <f t="shared" si="50"/>
        <v>0</v>
      </c>
      <c r="I224" s="590"/>
    </row>
    <row r="225" spans="2:10" ht="25.5" customHeight="1" x14ac:dyDescent="0.2">
      <c r="B225" s="442">
        <v>742000</v>
      </c>
      <c r="C225" s="400" t="s">
        <v>271</v>
      </c>
      <c r="D225" s="401">
        <f>D226+D242</f>
        <v>2390877</v>
      </c>
      <c r="E225" s="401">
        <f>E226+E242</f>
        <v>2390877</v>
      </c>
      <c r="F225" s="402">
        <f>F226+F242</f>
        <v>207000</v>
      </c>
      <c r="G225" s="524">
        <f t="shared" si="50"/>
        <v>8.6579108837468421</v>
      </c>
    </row>
    <row r="226" spans="2:10" ht="15" customHeight="1" x14ac:dyDescent="0.2">
      <c r="B226" s="425">
        <v>742100</v>
      </c>
      <c r="C226" s="430" t="s">
        <v>272</v>
      </c>
      <c r="D226" s="427">
        <f>D227+D241</f>
        <v>2390877</v>
      </c>
      <c r="E226" s="427">
        <f>E227+E241</f>
        <v>2390877</v>
      </c>
      <c r="F226" s="428">
        <f>F227+F241</f>
        <v>207000</v>
      </c>
      <c r="G226" s="525">
        <f t="shared" si="50"/>
        <v>8.6579108837468421</v>
      </c>
    </row>
    <row r="227" spans="2:10" ht="15" customHeight="1" x14ac:dyDescent="0.2">
      <c r="B227" s="407">
        <v>742112</v>
      </c>
      <c r="C227" s="408" t="s">
        <v>273</v>
      </c>
      <c r="D227" s="409">
        <f>SUM(D228:D240)</f>
        <v>2390877</v>
      </c>
      <c r="E227" s="409">
        <f>SUM(E228:E240)</f>
        <v>2390877</v>
      </c>
      <c r="F227" s="410">
        <f>SUM(F228:F240)</f>
        <v>207000</v>
      </c>
      <c r="G227" s="526">
        <f t="shared" si="50"/>
        <v>8.6579108837468421</v>
      </c>
    </row>
    <row r="228" spans="2:10" s="306" customFormat="1" ht="40.5" customHeight="1" x14ac:dyDescent="0.2">
      <c r="B228" s="425"/>
      <c r="C228" s="414" t="s">
        <v>871</v>
      </c>
      <c r="D228" s="417">
        <v>249233</v>
      </c>
      <c r="E228" s="417">
        <v>249233</v>
      </c>
      <c r="F228" s="418">
        <v>0</v>
      </c>
      <c r="G228" s="527">
        <f t="shared" si="50"/>
        <v>0</v>
      </c>
      <c r="I228" s="590"/>
    </row>
    <row r="229" spans="2:10" s="306" customFormat="1" ht="32.25" customHeight="1" x14ac:dyDescent="0.2">
      <c r="B229" s="425"/>
      <c r="C229" s="414" t="s">
        <v>872</v>
      </c>
      <c r="D229" s="417">
        <v>90000</v>
      </c>
      <c r="E229" s="417">
        <v>90000</v>
      </c>
      <c r="F229" s="418">
        <v>0</v>
      </c>
      <c r="G229" s="527">
        <f t="shared" ref="G229" si="53">IF(E229=0,"",F229/E229*100)</f>
        <v>0</v>
      </c>
      <c r="I229" s="590"/>
    </row>
    <row r="230" spans="2:10" s="306" customFormat="1" ht="39" customHeight="1" x14ac:dyDescent="0.2">
      <c r="B230" s="425"/>
      <c r="C230" s="414" t="s">
        <v>873</v>
      </c>
      <c r="D230" s="417">
        <v>90000</v>
      </c>
      <c r="E230" s="417">
        <v>90000</v>
      </c>
      <c r="F230" s="418">
        <v>0</v>
      </c>
      <c r="G230" s="527">
        <f t="shared" ref="G230" si="54">IF(E230=0,"",F230/E230*100)</f>
        <v>0</v>
      </c>
      <c r="I230" s="590"/>
    </row>
    <row r="231" spans="2:10" s="306" customFormat="1" ht="39.75" customHeight="1" x14ac:dyDescent="0.2">
      <c r="B231" s="425"/>
      <c r="C231" s="414" t="s">
        <v>874</v>
      </c>
      <c r="D231" s="417">
        <v>72718</v>
      </c>
      <c r="E231" s="417">
        <v>72718</v>
      </c>
      <c r="F231" s="418">
        <v>0</v>
      </c>
      <c r="G231" s="527">
        <f t="shared" si="50"/>
        <v>0</v>
      </c>
      <c r="I231" s="590"/>
    </row>
    <row r="232" spans="2:10" s="306" customFormat="1" ht="42.75" customHeight="1" x14ac:dyDescent="0.2">
      <c r="B232" s="415"/>
      <c r="C232" s="414" t="s">
        <v>875</v>
      </c>
      <c r="D232" s="417">
        <v>22126</v>
      </c>
      <c r="E232" s="417">
        <v>22126</v>
      </c>
      <c r="F232" s="418">
        <v>0</v>
      </c>
      <c r="G232" s="527">
        <f t="shared" si="50"/>
        <v>0</v>
      </c>
      <c r="I232" s="590"/>
    </row>
    <row r="233" spans="2:10" s="306" customFormat="1" ht="42" customHeight="1" x14ac:dyDescent="0.2">
      <c r="B233" s="415"/>
      <c r="C233" s="414" t="s">
        <v>876</v>
      </c>
      <c r="D233" s="417">
        <v>1500000</v>
      </c>
      <c r="E233" s="417">
        <v>1500000</v>
      </c>
      <c r="F233" s="418">
        <v>0</v>
      </c>
      <c r="G233" s="527">
        <f t="shared" si="50"/>
        <v>0</v>
      </c>
      <c r="I233" s="590"/>
    </row>
    <row r="234" spans="2:10" s="306" customFormat="1" ht="42" customHeight="1" x14ac:dyDescent="0.2">
      <c r="B234" s="415"/>
      <c r="C234" s="414" t="s">
        <v>887</v>
      </c>
      <c r="D234" s="417">
        <v>0</v>
      </c>
      <c r="E234" s="417">
        <v>0</v>
      </c>
      <c r="F234" s="418">
        <f>96000+71000</f>
        <v>167000</v>
      </c>
      <c r="G234" s="527"/>
      <c r="I234" s="590"/>
    </row>
    <row r="235" spans="2:10" s="306" customFormat="1" ht="42" customHeight="1" x14ac:dyDescent="0.2">
      <c r="B235" s="415"/>
      <c r="C235" s="414" t="s">
        <v>888</v>
      </c>
      <c r="D235" s="417">
        <v>0</v>
      </c>
      <c r="E235" s="417">
        <v>0</v>
      </c>
      <c r="F235" s="418">
        <v>40000</v>
      </c>
      <c r="G235" s="527"/>
      <c r="J235" s="590"/>
    </row>
    <row r="236" spans="2:10" s="306" customFormat="1" ht="53.25" customHeight="1" x14ac:dyDescent="0.2">
      <c r="B236" s="415"/>
      <c r="C236" s="429" t="s">
        <v>877</v>
      </c>
      <c r="D236" s="417">
        <v>100000</v>
      </c>
      <c r="E236" s="417">
        <v>100000</v>
      </c>
      <c r="F236" s="418">
        <v>0</v>
      </c>
      <c r="G236" s="527"/>
      <c r="I236" s="590"/>
    </row>
    <row r="237" spans="2:10" s="306" customFormat="1" ht="44.25" customHeight="1" x14ac:dyDescent="0.2">
      <c r="B237" s="415"/>
      <c r="C237" s="429" t="s">
        <v>878</v>
      </c>
      <c r="D237" s="417">
        <v>90000</v>
      </c>
      <c r="E237" s="417">
        <v>90000</v>
      </c>
      <c r="F237" s="418">
        <v>0</v>
      </c>
      <c r="G237" s="527"/>
      <c r="I237" s="590"/>
    </row>
    <row r="238" spans="2:10" s="306" customFormat="1" ht="42.75" customHeight="1" x14ac:dyDescent="0.2">
      <c r="B238" s="415"/>
      <c r="C238" s="429" t="s">
        <v>879</v>
      </c>
      <c r="D238" s="417">
        <v>55700</v>
      </c>
      <c r="E238" s="417">
        <v>55700</v>
      </c>
      <c r="F238" s="418">
        <v>0</v>
      </c>
      <c r="G238" s="527"/>
      <c r="I238" s="590"/>
    </row>
    <row r="239" spans="2:10" s="306" customFormat="1" ht="39.75" customHeight="1" x14ac:dyDescent="0.2">
      <c r="B239" s="415"/>
      <c r="C239" s="414" t="s">
        <v>880</v>
      </c>
      <c r="D239" s="417">
        <v>70000</v>
      </c>
      <c r="E239" s="417">
        <v>70000</v>
      </c>
      <c r="F239" s="418">
        <v>0</v>
      </c>
      <c r="G239" s="527"/>
      <c r="I239" s="590"/>
    </row>
    <row r="240" spans="2:10" s="306" customFormat="1" ht="43.5" customHeight="1" x14ac:dyDescent="0.2">
      <c r="B240" s="415"/>
      <c r="C240" s="429" t="s">
        <v>881</v>
      </c>
      <c r="D240" s="417">
        <v>51100</v>
      </c>
      <c r="E240" s="417">
        <v>51100</v>
      </c>
      <c r="F240" s="418">
        <v>0</v>
      </c>
      <c r="G240" s="527"/>
      <c r="I240" s="590"/>
    </row>
    <row r="241" spans="2:10" ht="15" customHeight="1" x14ac:dyDescent="0.2">
      <c r="B241" s="407">
        <v>742116</v>
      </c>
      <c r="C241" s="408" t="s">
        <v>274</v>
      </c>
      <c r="D241" s="409">
        <v>0</v>
      </c>
      <c r="E241" s="409">
        <v>0</v>
      </c>
      <c r="F241" s="410">
        <v>0</v>
      </c>
      <c r="G241" s="526" t="str">
        <f t="shared" si="50"/>
        <v/>
      </c>
      <c r="J241" s="49"/>
    </row>
    <row r="242" spans="2:10" ht="15" customHeight="1" x14ac:dyDescent="0.2">
      <c r="B242" s="425">
        <v>742200</v>
      </c>
      <c r="C242" s="430" t="s">
        <v>275</v>
      </c>
      <c r="D242" s="427">
        <f t="shared" ref="D242:F242" si="55">D243</f>
        <v>0</v>
      </c>
      <c r="E242" s="427">
        <f t="shared" si="55"/>
        <v>0</v>
      </c>
      <c r="F242" s="428">
        <f t="shared" si="55"/>
        <v>0</v>
      </c>
      <c r="G242" s="525" t="str">
        <f t="shared" si="50"/>
        <v/>
      </c>
    </row>
    <row r="243" spans="2:10" ht="15" customHeight="1" x14ac:dyDescent="0.2">
      <c r="B243" s="407">
        <v>742211</v>
      </c>
      <c r="C243" s="408" t="s">
        <v>275</v>
      </c>
      <c r="D243" s="409">
        <v>0</v>
      </c>
      <c r="E243" s="409">
        <v>0</v>
      </c>
      <c r="F243" s="410">
        <v>0</v>
      </c>
      <c r="G243" s="526" t="str">
        <f t="shared" si="50"/>
        <v/>
      </c>
    </row>
    <row r="244" spans="2:10" x14ac:dyDescent="0.2">
      <c r="B244" s="403"/>
      <c r="C244" s="414"/>
      <c r="D244" s="409"/>
      <c r="E244" s="409"/>
      <c r="F244" s="410"/>
      <c r="G244" s="526" t="str">
        <f t="shared" si="50"/>
        <v/>
      </c>
    </row>
    <row r="245" spans="2:10" ht="17.100000000000001" customHeight="1" x14ac:dyDescent="0.2">
      <c r="B245" s="396">
        <v>777000</v>
      </c>
      <c r="C245" s="397" t="s">
        <v>276</v>
      </c>
      <c r="D245" s="401">
        <f>SUM(D246:D247)</f>
        <v>1210</v>
      </c>
      <c r="E245" s="401">
        <f>SUM(E246:E247)</f>
        <v>1210</v>
      </c>
      <c r="F245" s="402">
        <f>SUM(F246:F247)</f>
        <v>1250</v>
      </c>
      <c r="G245" s="524">
        <f t="shared" si="50"/>
        <v>103.30578512396693</v>
      </c>
    </row>
    <row r="246" spans="2:10" ht="15" customHeight="1" x14ac:dyDescent="0.2">
      <c r="B246" s="407">
        <v>777778</v>
      </c>
      <c r="C246" s="408" t="s">
        <v>277</v>
      </c>
      <c r="D246" s="409">
        <v>1210</v>
      </c>
      <c r="E246" s="409">
        <v>1210</v>
      </c>
      <c r="F246" s="410">
        <v>1250</v>
      </c>
      <c r="G246" s="526">
        <f t="shared" si="50"/>
        <v>103.30578512396693</v>
      </c>
      <c r="H246" s="247"/>
    </row>
    <row r="247" spans="2:10" ht="15" customHeight="1" x14ac:dyDescent="0.2">
      <c r="B247" s="407">
        <v>777779</v>
      </c>
      <c r="C247" s="408" t="s">
        <v>278</v>
      </c>
      <c r="D247" s="409">
        <v>0</v>
      </c>
      <c r="E247" s="409">
        <v>0</v>
      </c>
      <c r="F247" s="410">
        <v>0</v>
      </c>
      <c r="G247" s="526" t="str">
        <f t="shared" si="50"/>
        <v/>
      </c>
      <c r="H247" s="247"/>
    </row>
    <row r="248" spans="2:10" ht="15" customHeight="1" x14ac:dyDescent="0.2">
      <c r="B248" s="445"/>
      <c r="C248" s="432"/>
      <c r="D248" s="409"/>
      <c r="E248" s="409"/>
      <c r="F248" s="410"/>
      <c r="G248" s="526" t="str">
        <f t="shared" si="50"/>
        <v/>
      </c>
    </row>
    <row r="249" spans="2:10" ht="15" customHeight="1" x14ac:dyDescent="0.2">
      <c r="B249" s="623" t="s">
        <v>279</v>
      </c>
      <c r="C249" s="624"/>
      <c r="D249" s="436">
        <f>D181+D183+D212+D245</f>
        <v>71622480</v>
      </c>
      <c r="E249" s="436">
        <f>E181+E183+E212+E245</f>
        <v>71622480</v>
      </c>
      <c r="F249" s="437">
        <f>F181+F183+F212+F245</f>
        <v>72458350</v>
      </c>
      <c r="G249" s="529">
        <f t="shared" si="50"/>
        <v>101.16704978660331</v>
      </c>
    </row>
    <row r="250" spans="2:10" ht="15" customHeight="1" x14ac:dyDescent="0.2">
      <c r="B250" s="438"/>
      <c r="C250" s="439"/>
      <c r="D250" s="436"/>
      <c r="E250" s="436"/>
      <c r="F250" s="437"/>
      <c r="G250" s="526" t="str">
        <f t="shared" si="50"/>
        <v/>
      </c>
    </row>
    <row r="251" spans="2:10" ht="17.100000000000001" customHeight="1" x14ac:dyDescent="0.2">
      <c r="B251" s="396">
        <v>810000</v>
      </c>
      <c r="C251" s="397" t="s">
        <v>280</v>
      </c>
      <c r="D251" s="398">
        <f>D252</f>
        <v>0</v>
      </c>
      <c r="E251" s="398">
        <f>E252</f>
        <v>0</v>
      </c>
      <c r="F251" s="399">
        <f>F252</f>
        <v>0</v>
      </c>
      <c r="G251" s="524" t="str">
        <f t="shared" si="50"/>
        <v/>
      </c>
    </row>
    <row r="252" spans="2:10" ht="17.100000000000001" customHeight="1" x14ac:dyDescent="0.2">
      <c r="B252" s="396">
        <v>811000</v>
      </c>
      <c r="C252" s="400" t="s">
        <v>281</v>
      </c>
      <c r="D252" s="401">
        <f>SUM(D253:D253)</f>
        <v>0</v>
      </c>
      <c r="E252" s="401">
        <f>SUM(E253:E253)</f>
        <v>0</v>
      </c>
      <c r="F252" s="402">
        <f>SUM(F253:F253)</f>
        <v>0</v>
      </c>
      <c r="G252" s="524" t="str">
        <f t="shared" si="50"/>
        <v/>
      </c>
    </row>
    <row r="253" spans="2:10" ht="15" customHeight="1" x14ac:dyDescent="0.2">
      <c r="B253" s="425">
        <v>811100</v>
      </c>
      <c r="C253" s="433" t="s">
        <v>282</v>
      </c>
      <c r="D253" s="405">
        <f t="shared" ref="D253:F253" si="56">D254</f>
        <v>0</v>
      </c>
      <c r="E253" s="405">
        <f t="shared" si="56"/>
        <v>0</v>
      </c>
      <c r="F253" s="406">
        <f t="shared" si="56"/>
        <v>0</v>
      </c>
      <c r="G253" s="525" t="str">
        <f t="shared" si="50"/>
        <v/>
      </c>
    </row>
    <row r="254" spans="2:10" ht="15" customHeight="1" x14ac:dyDescent="0.2">
      <c r="B254" s="407">
        <v>811114</v>
      </c>
      <c r="C254" s="408" t="s">
        <v>283</v>
      </c>
      <c r="D254" s="409">
        <v>0</v>
      </c>
      <c r="E254" s="409">
        <v>0</v>
      </c>
      <c r="F254" s="410">
        <v>0</v>
      </c>
      <c r="G254" s="526" t="str">
        <f t="shared" si="50"/>
        <v/>
      </c>
    </row>
    <row r="255" spans="2:10" ht="15" customHeight="1" thickBot="1" x14ac:dyDescent="0.25">
      <c r="B255" s="446"/>
      <c r="C255" s="447"/>
      <c r="D255" s="447"/>
      <c r="E255" s="447"/>
      <c r="F255" s="448"/>
      <c r="G255" s="530" t="str">
        <f t="shared" si="50"/>
        <v/>
      </c>
    </row>
    <row r="256" spans="2:10" ht="17.100000000000001" customHeight="1" thickBot="1" x14ac:dyDescent="0.25">
      <c r="B256" s="625" t="s">
        <v>284</v>
      </c>
      <c r="C256" s="626"/>
      <c r="D256" s="449">
        <f>D249+D251</f>
        <v>71622480</v>
      </c>
      <c r="E256" s="449">
        <f>E249+E251</f>
        <v>71622480</v>
      </c>
      <c r="F256" s="450">
        <f>F249+F251</f>
        <v>72458350</v>
      </c>
      <c r="G256" s="531">
        <f t="shared" si="50"/>
        <v>101.16704978660331</v>
      </c>
    </row>
    <row r="257" spans="4:6" x14ac:dyDescent="0.2">
      <c r="F257" s="308"/>
    </row>
    <row r="258" spans="4:6" x14ac:dyDescent="0.2">
      <c r="E258" s="49"/>
      <c r="F258" s="307"/>
    </row>
    <row r="259" spans="4:6" x14ac:dyDescent="0.2">
      <c r="D259" s="49"/>
      <c r="E259" s="49"/>
      <c r="F259" s="307"/>
    </row>
  </sheetData>
  <mergeCells count="4">
    <mergeCell ref="B181:C181"/>
    <mergeCell ref="B249:C249"/>
    <mergeCell ref="B256:C256"/>
    <mergeCell ref="B2:G2"/>
  </mergeCells>
  <pageMargins left="1.02" right="0.31496062992125984" top="0.59055118110236227" bottom="0.51181102362204722" header="0.59055118110236227" footer="0.31496062992125984"/>
  <pageSetup paperSize="9" scale="87" firstPageNumber="2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2:Q133"/>
  <sheetViews>
    <sheetView topLeftCell="C1" zoomScaleNormal="100" workbookViewId="0">
      <selection activeCell="Q17" sqref="Q17"/>
    </sheetView>
  </sheetViews>
  <sheetFormatPr defaultColWidth="9.140625" defaultRowHeight="12" customHeight="1" x14ac:dyDescent="0.2"/>
  <cols>
    <col min="1" max="1" width="0.5703125" style="9" hidden="1" customWidth="1"/>
    <col min="2" max="2" width="5.7109375" style="9" hidden="1" customWidth="1"/>
    <col min="3" max="3" width="8.7109375" style="17" customWidth="1"/>
    <col min="4" max="4" width="7" style="17" customWidth="1"/>
    <col min="5" max="5" width="54.7109375" style="9" customWidth="1"/>
    <col min="6" max="7" width="15.7109375" style="9" customWidth="1"/>
    <col min="8" max="8" width="12.7109375" style="9" customWidth="1"/>
    <col min="9" max="9" width="11" style="9" customWidth="1"/>
    <col min="10" max="10" width="14.7109375" style="9" customWidth="1"/>
    <col min="11" max="11" width="7.42578125" style="53" customWidth="1"/>
    <col min="12" max="12" width="9.140625" style="9"/>
    <col min="13" max="13" width="13.140625" style="44" bestFit="1" customWidth="1"/>
    <col min="14" max="14" width="12.7109375" style="9" bestFit="1" customWidth="1"/>
    <col min="15" max="15" width="10.140625" style="9" bestFit="1" customWidth="1"/>
    <col min="16" max="16384" width="9.140625" style="9"/>
  </cols>
  <sheetData>
    <row r="2" spans="2:17" ht="2.25" customHeight="1" x14ac:dyDescent="0.2"/>
    <row r="3" spans="2:17" s="1" customFormat="1" ht="30.75" customHeight="1" thickBot="1" x14ac:dyDescent="0.3">
      <c r="C3" s="632" t="s">
        <v>285</v>
      </c>
      <c r="D3" s="632"/>
      <c r="E3" s="632"/>
      <c r="F3" s="52"/>
      <c r="G3" s="52"/>
      <c r="H3" s="52"/>
      <c r="I3" s="52"/>
      <c r="J3" s="630"/>
      <c r="K3" s="631"/>
      <c r="M3" s="45"/>
    </row>
    <row r="4" spans="2:17" s="1" customFormat="1" ht="39.75" customHeight="1" x14ac:dyDescent="0.2">
      <c r="B4" s="3" t="s">
        <v>286</v>
      </c>
      <c r="C4" s="637" t="s">
        <v>287</v>
      </c>
      <c r="D4" s="639" t="s">
        <v>288</v>
      </c>
      <c r="E4" s="641" t="s">
        <v>99</v>
      </c>
      <c r="F4" s="643" t="s">
        <v>886</v>
      </c>
      <c r="G4" s="645" t="s">
        <v>811</v>
      </c>
      <c r="H4" s="634" t="s">
        <v>813</v>
      </c>
      <c r="I4" s="635"/>
      <c r="J4" s="636"/>
      <c r="K4" s="647" t="s">
        <v>65</v>
      </c>
      <c r="M4" s="45"/>
    </row>
    <row r="5" spans="2:17" s="1" customFormat="1" ht="28.5" customHeight="1" x14ac:dyDescent="0.2">
      <c r="B5" s="160"/>
      <c r="C5" s="638"/>
      <c r="D5" s="640"/>
      <c r="E5" s="642"/>
      <c r="F5" s="644"/>
      <c r="G5" s="646"/>
      <c r="H5" s="467" t="s">
        <v>289</v>
      </c>
      <c r="I5" s="451" t="s">
        <v>290</v>
      </c>
      <c r="J5" s="468" t="s">
        <v>291</v>
      </c>
      <c r="K5" s="648"/>
      <c r="M5" s="45"/>
    </row>
    <row r="6" spans="2:17" s="2" customFormat="1" ht="14.1" customHeight="1" x14ac:dyDescent="0.2">
      <c r="B6" s="4">
        <v>1</v>
      </c>
      <c r="C6" s="231">
        <v>1</v>
      </c>
      <c r="D6" s="130"/>
      <c r="E6" s="135">
        <v>2</v>
      </c>
      <c r="F6" s="232">
        <v>3</v>
      </c>
      <c r="G6" s="232">
        <v>4</v>
      </c>
      <c r="H6" s="231">
        <v>5</v>
      </c>
      <c r="I6" s="135">
        <v>6</v>
      </c>
      <c r="J6" s="469" t="s">
        <v>292</v>
      </c>
      <c r="K6" s="452" t="s">
        <v>293</v>
      </c>
      <c r="M6" s="51"/>
    </row>
    <row r="7" spans="2:17" s="2" customFormat="1" ht="15" customHeight="1" x14ac:dyDescent="0.25">
      <c r="B7" s="4"/>
      <c r="C7" s="166"/>
      <c r="D7" s="167"/>
      <c r="E7" s="168" t="s">
        <v>294</v>
      </c>
      <c r="F7" s="169">
        <f>F9+F15+F21+F26+F52+F93+F101+F105+F114</f>
        <v>72119800</v>
      </c>
      <c r="G7" s="453">
        <f>G9+G15+G21+G26+G52+G93+G101+G105+G114</f>
        <v>72119800</v>
      </c>
      <c r="H7" s="470">
        <f>H9+H15+H21+H26+H52+H93+H101+H105+H114</f>
        <v>68195670</v>
      </c>
      <c r="I7" s="169">
        <f>I9+I15+I21+I26+I52+I93+I101+I105+I114</f>
        <v>4262680</v>
      </c>
      <c r="J7" s="471">
        <f>J9+J15+J21+J26+J52+J93+J101+J105+J114</f>
        <v>72458350</v>
      </c>
      <c r="K7" s="170">
        <f>IF(G7=0,"",J7/G7*100)</f>
        <v>100.46942725853371</v>
      </c>
      <c r="M7" s="51"/>
    </row>
    <row r="8" spans="2:17" s="2" customFormat="1" ht="9" customHeight="1" x14ac:dyDescent="0.25">
      <c r="B8" s="4"/>
      <c r="C8" s="4"/>
      <c r="D8" s="130"/>
      <c r="E8" s="19"/>
      <c r="F8" s="18"/>
      <c r="G8" s="454"/>
      <c r="H8" s="472"/>
      <c r="I8" s="18"/>
      <c r="J8" s="471"/>
      <c r="K8" s="58" t="str">
        <f>IF(F8=0,"",J8/F8*100)</f>
        <v/>
      </c>
      <c r="M8" s="51"/>
    </row>
    <row r="9" spans="2:17" s="2" customFormat="1" ht="15" customHeight="1" x14ac:dyDescent="0.25">
      <c r="B9" s="4"/>
      <c r="C9" s="171">
        <v>600000</v>
      </c>
      <c r="D9" s="172"/>
      <c r="E9" s="168" t="s">
        <v>295</v>
      </c>
      <c r="F9" s="169">
        <f>F10+F11+F12+F13</f>
        <v>660000</v>
      </c>
      <c r="G9" s="453">
        <f t="shared" ref="G9" si="0">G10+G11+G12+G13</f>
        <v>660000</v>
      </c>
      <c r="H9" s="470">
        <f>H10+H11+H12+H13</f>
        <v>580000</v>
      </c>
      <c r="I9" s="169">
        <f>I10+I11+I12+I13</f>
        <v>0</v>
      </c>
      <c r="J9" s="471">
        <f>J10+J11+J12+J13</f>
        <v>580000</v>
      </c>
      <c r="K9" s="170">
        <f t="shared" ref="K9:K41" si="1">IF(G9=0,"",J9/G9*100)</f>
        <v>87.878787878787875</v>
      </c>
      <c r="M9" s="44"/>
    </row>
    <row r="10" spans="2:17" s="2" customFormat="1" ht="15" customHeight="1" x14ac:dyDescent="0.2">
      <c r="B10" s="4"/>
      <c r="C10" s="104">
        <v>600000</v>
      </c>
      <c r="D10" s="393"/>
      <c r="E10" s="35" t="s">
        <v>296</v>
      </c>
      <c r="F10" s="36">
        <f>'2'!I9</f>
        <v>600000</v>
      </c>
      <c r="G10" s="455">
        <f>'2'!J9</f>
        <v>600000</v>
      </c>
      <c r="H10" s="473">
        <f>'2'!K9</f>
        <v>500000</v>
      </c>
      <c r="I10" s="36">
        <f>'2'!L9</f>
        <v>0</v>
      </c>
      <c r="J10" s="474">
        <f>'2'!M9</f>
        <v>500000</v>
      </c>
      <c r="K10" s="58">
        <f t="shared" si="1"/>
        <v>83.333333333333343</v>
      </c>
      <c r="M10" s="51"/>
      <c r="O10" s="51"/>
    </row>
    <row r="11" spans="2:17" s="2" customFormat="1" ht="15" customHeight="1" x14ac:dyDescent="0.2">
      <c r="B11" s="4"/>
      <c r="C11" s="104">
        <v>600000</v>
      </c>
      <c r="D11" s="393"/>
      <c r="E11" s="35" t="s">
        <v>297</v>
      </c>
      <c r="F11" s="36">
        <f>'2'!I10</f>
        <v>30000</v>
      </c>
      <c r="G11" s="455">
        <f>'2'!J10</f>
        <v>30000</v>
      </c>
      <c r="H11" s="473">
        <f>'2'!K10</f>
        <v>40000</v>
      </c>
      <c r="I11" s="36">
        <f>'2'!L10</f>
        <v>0</v>
      </c>
      <c r="J11" s="474">
        <f>'2'!M10</f>
        <v>40000</v>
      </c>
      <c r="K11" s="58">
        <f t="shared" si="1"/>
        <v>133.33333333333331</v>
      </c>
      <c r="M11" s="51"/>
      <c r="N11" s="51"/>
    </row>
    <row r="12" spans="2:17" s="2" customFormat="1" ht="15" customHeight="1" x14ac:dyDescent="0.2">
      <c r="B12" s="4"/>
      <c r="C12" s="104">
        <v>600000</v>
      </c>
      <c r="D12" s="393"/>
      <c r="E12" s="35" t="s">
        <v>298</v>
      </c>
      <c r="F12" s="36">
        <f>'2'!I11</f>
        <v>15000</v>
      </c>
      <c r="G12" s="455">
        <f>'2'!J11</f>
        <v>15000</v>
      </c>
      <c r="H12" s="473">
        <f>'2'!K11</f>
        <v>20000</v>
      </c>
      <c r="I12" s="36">
        <f>'2'!L11</f>
        <v>0</v>
      </c>
      <c r="J12" s="474">
        <f>'2'!M11</f>
        <v>20000</v>
      </c>
      <c r="K12" s="58">
        <f t="shared" si="1"/>
        <v>133.33333333333331</v>
      </c>
      <c r="M12" s="51"/>
      <c r="O12" s="51"/>
    </row>
    <row r="13" spans="2:17" s="2" customFormat="1" ht="15" customHeight="1" x14ac:dyDescent="0.2">
      <c r="B13" s="4"/>
      <c r="C13" s="104">
        <v>600000</v>
      </c>
      <c r="D13" s="393"/>
      <c r="E13" s="35" t="s">
        <v>299</v>
      </c>
      <c r="F13" s="36">
        <f>'17'!I9</f>
        <v>15000</v>
      </c>
      <c r="G13" s="455">
        <f>'17'!J9</f>
        <v>15000</v>
      </c>
      <c r="H13" s="473">
        <f>'17'!K9</f>
        <v>20000</v>
      </c>
      <c r="I13" s="36">
        <f>'17'!L9</f>
        <v>0</v>
      </c>
      <c r="J13" s="474">
        <f>'17'!M9</f>
        <v>20000</v>
      </c>
      <c r="K13" s="58">
        <f t="shared" si="1"/>
        <v>133.33333333333331</v>
      </c>
      <c r="M13" s="51"/>
    </row>
    <row r="14" spans="2:17" s="2" customFormat="1" ht="10.5" customHeight="1" x14ac:dyDescent="0.25">
      <c r="B14" s="4"/>
      <c r="C14" s="104"/>
      <c r="D14" s="393"/>
      <c r="E14" s="35"/>
      <c r="F14" s="18"/>
      <c r="G14" s="454"/>
      <c r="H14" s="472"/>
      <c r="I14" s="18"/>
      <c r="J14" s="471"/>
      <c r="K14" s="58" t="str">
        <f t="shared" si="1"/>
        <v/>
      </c>
      <c r="M14" s="51"/>
    </row>
    <row r="15" spans="2:17" s="1" customFormat="1" ht="15" customHeight="1" x14ac:dyDescent="0.25">
      <c r="B15" s="6"/>
      <c r="C15" s="171">
        <v>611000</v>
      </c>
      <c r="D15" s="394"/>
      <c r="E15" s="173" t="s">
        <v>300</v>
      </c>
      <c r="F15" s="174">
        <f>F16+F17</f>
        <v>34642440</v>
      </c>
      <c r="G15" s="456">
        <f t="shared" ref="G15" si="2">G16+G17</f>
        <v>34642440</v>
      </c>
      <c r="H15" s="475">
        <f>H16+H17</f>
        <v>35883240</v>
      </c>
      <c r="I15" s="174">
        <f>I16+I17</f>
        <v>0</v>
      </c>
      <c r="J15" s="476">
        <f>J16+J17</f>
        <v>35883240</v>
      </c>
      <c r="K15" s="175">
        <f t="shared" si="1"/>
        <v>103.58173385015606</v>
      </c>
      <c r="M15" s="44"/>
      <c r="N15" s="572"/>
      <c r="O15" s="45"/>
      <c r="Q15" s="45"/>
    </row>
    <row r="16" spans="2:17" ht="15" customHeight="1" x14ac:dyDescent="0.2">
      <c r="B16" s="10"/>
      <c r="C16" s="105">
        <v>611100</v>
      </c>
      <c r="D16" s="393"/>
      <c r="E16" s="11" t="s">
        <v>301</v>
      </c>
      <c r="F16" s="28">
        <f>'1'!I9+'2'!I14+'6'!I9+'3'!I9+'4'!I9+'7N'!I9+'8'!I9+'9'!I9+'10'!I9+'11'!I9+'12'!I9+'13'!I9+'14'!I9+'16'!I9+'17'!I12+'18'!I9+'19'!I9+'20'!I9+'21'!I9+'23'!I9+'24'!I9+'22'!I9+'25'!I9+'26'!I9+'27'!I9+'28'!I9+'29'!I9+'30'!I9+'31'!I9+'32'!I9+'33'!I9+'34'!I9+'35'!I9+'36'!I9+'37'!I9+'38'!I9+'5'!I9+'15'!I9</f>
        <v>28345090</v>
      </c>
      <c r="G16" s="457">
        <f>'1'!J9+'2'!J14+'6'!J9+'3'!J9+'4'!J9+'7N'!J9+'8'!J9+'9'!J9+'10'!J9+'11'!J9+'12'!J9+'13'!J9+'14'!J9+'16'!J9+'17'!J12+'18'!J9+'19'!J9+'20'!J9+'21'!J9+'23'!J9+'24'!J9+'22'!J9+'25'!J9+'26'!J9+'27'!J9+'28'!J9+'29'!J9+'30'!J9+'31'!J9+'32'!J9+'33'!J9+'34'!J9+'35'!J9+'36'!J9+'37'!J9+'38'!J9+'5'!J9+'15'!J9</f>
        <v>28345090</v>
      </c>
      <c r="H16" s="477">
        <f>'1'!K9+'2'!K14+'6'!K9+'3'!K9+'4'!K9+'7N'!K9+'8'!K9+'9'!K9+'10'!K9+'11'!K9+'12'!K9+'13'!K9+'14'!K9+'16'!K9+'17'!K12+'18'!K9+'19'!K9+'20'!K9+'21'!K9+'23'!K9+'24'!K9+'22'!K9+'25'!K9+'26'!K9+'27'!K9+'28'!K9+'29'!K9+'30'!K9+'31'!K9+'32'!K9+'33'!K9+'34'!K9+'35'!K9+'36'!K9+'37'!K9+'38'!K9+'5'!K9+'15'!K9</f>
        <v>30254410</v>
      </c>
      <c r="I16" s="28">
        <f>'1'!L9+'2'!L14+'6'!L9+'3'!L9+'4'!L9+'7N'!L9+'8'!L9+'9'!L9+'10'!L9+'11'!L9+'12'!L9+'13'!L9+'14'!L9+'16'!L9+'17'!L12+'18'!L9+'19'!L9+'20'!L9+'21'!L9+'23'!L9+'24'!L9+'22'!L9+'25'!L9+'26'!L9+'27'!L9+'28'!L9+'29'!L9+'30'!L9+'31'!L9+'32'!L9+'33'!L9+'34'!L9+'35'!L9+'36'!L9+'37'!L9+'38'!L9+'5'!L9+'15'!L9</f>
        <v>0</v>
      </c>
      <c r="J16" s="478">
        <f>'1'!M9+'2'!M14+'6'!M9+'3'!M9+'4'!M9+'7N'!M9+'8'!M9+'9'!M9+'10'!M9+'11'!M9+'12'!M9+'13'!M9+'14'!M9+'16'!M9+'17'!M12+'18'!M9+'19'!M9+'20'!M9+'21'!M9+'23'!M9+'24'!M9+'22'!M9+'25'!M9+'26'!M9+'27'!M9+'28'!M9+'29'!M9+'30'!M9+'31'!M9+'32'!M9+'33'!M9+'34'!M9+'35'!M9+'36'!M9+'37'!M9+'38'!M9+'5'!M9+'15'!M9</f>
        <v>30254410</v>
      </c>
      <c r="K16" s="58">
        <f t="shared" si="1"/>
        <v>106.73598143452712</v>
      </c>
      <c r="M16" s="44">
        <f>J15-G15</f>
        <v>1240800</v>
      </c>
      <c r="N16" s="53"/>
      <c r="Q16" s="44"/>
    </row>
    <row r="17" spans="2:15" ht="15" customHeight="1" x14ac:dyDescent="0.2">
      <c r="B17" s="10"/>
      <c r="C17" s="105">
        <v>611200</v>
      </c>
      <c r="D17" s="393"/>
      <c r="E17" s="11" t="s">
        <v>302</v>
      </c>
      <c r="F17" s="28">
        <f>F18+F19</f>
        <v>6297350</v>
      </c>
      <c r="G17" s="457">
        <f t="shared" ref="G17" si="3">G18+G19</f>
        <v>6297350</v>
      </c>
      <c r="H17" s="477">
        <f t="shared" ref="H17" si="4">H18+H19</f>
        <v>5628830</v>
      </c>
      <c r="I17" s="28">
        <f t="shared" ref="I17:J17" si="5">I18+I19</f>
        <v>0</v>
      </c>
      <c r="J17" s="478">
        <f t="shared" si="5"/>
        <v>5628830</v>
      </c>
      <c r="K17" s="58">
        <f t="shared" si="1"/>
        <v>89.384106012846672</v>
      </c>
      <c r="M17" s="53"/>
      <c r="O17" s="44"/>
    </row>
    <row r="18" spans="2:15" ht="15" customHeight="1" x14ac:dyDescent="0.2">
      <c r="B18" s="10"/>
      <c r="C18" s="106">
        <v>611200</v>
      </c>
      <c r="D18" s="395"/>
      <c r="E18" s="101" t="s">
        <v>303</v>
      </c>
      <c r="F18" s="102">
        <f>'1'!I10+'2'!I15+'6'!I10+'3'!I10+'4'!I10+'7N'!I10+'8'!I10+'9'!I10+'10'!I10+'11'!I10+'12'!I10+'13'!I10+'14'!I10+'16'!I10+'17'!I13+'18'!I10+'19'!I10+'20'!I10+'21'!I10+'23'!I10+'24'!I10+'22'!I10+'25'!I10+'26'!I10+'27'!I10+'28'!I10+'29'!I10+'30'!I10+'31'!I10+'32'!I10+'33'!I10+'34'!I10+'35'!I10+'36'!I10+'37'!I10+'38'!I10+'5'!I10+'15'!I10</f>
        <v>6290450</v>
      </c>
      <c r="G18" s="458">
        <f>'1'!J10+'2'!J15+'6'!J10+'3'!J10+'4'!J10+'7N'!J10+'8'!J10+'9'!J10+'10'!J10+'11'!J10+'12'!J10+'13'!J10+'14'!J10+'16'!J10+'17'!J13+'18'!J10+'19'!J10+'20'!J10+'21'!J10+'23'!J10+'24'!J10+'22'!J10+'25'!J10+'26'!J10+'27'!J10+'28'!J10+'29'!J10+'30'!J10+'31'!J10+'32'!J10+'33'!J10+'34'!J10+'35'!J10+'36'!J10+'37'!J10+'38'!J10+'5'!J10+'15'!J10</f>
        <v>6290450</v>
      </c>
      <c r="H18" s="479">
        <f>'1'!K10+'2'!K15+'6'!K10+'3'!K10+'4'!K10+'7N'!K10+'8'!K10+'9'!K10+'10'!K10+'11'!K10+'12'!K10+'13'!K10+'14'!K10+'16'!K10+'17'!K13+'18'!K10+'19'!K10+'20'!K10+'21'!K10+'23'!K10+'24'!K10+'22'!K10+'25'!K10+'26'!K10+'27'!K10+'28'!K10+'29'!K10+'30'!K10+'31'!K10+'32'!K10+'33'!K10+'34'!K10+'35'!K10+'36'!K10+'37'!K10+'38'!K10+'5'!K10+'15'!K10</f>
        <v>5600960</v>
      </c>
      <c r="I18" s="102">
        <f>'1'!L10+'2'!L15+'6'!L10+'3'!L10+'4'!L10+'7N'!L10+'8'!L10+'9'!L10+'10'!L10+'11'!L10+'12'!L10+'13'!L10+'14'!L10+'16'!L10+'17'!L13+'18'!L10+'19'!L10+'20'!L10+'21'!L10+'23'!L10+'24'!L10+'22'!L10+'25'!L10+'26'!L10+'27'!L10+'28'!L10+'29'!L10+'30'!L10+'31'!L10+'32'!L10+'33'!L10+'34'!L10+'35'!L10+'36'!L10+'37'!L10+'38'!L10+'5'!L10+'15'!L10</f>
        <v>0</v>
      </c>
      <c r="J18" s="480">
        <f>'1'!M10+'2'!M15+'6'!M10+'3'!M10+'4'!M10+'7N'!M10+'8'!M10+'9'!M10+'10'!M10+'11'!M10+'12'!M10+'13'!M10+'14'!M10+'16'!M10+'17'!M13+'18'!M10+'19'!M10+'20'!M10+'21'!M10+'23'!M10+'24'!M10+'22'!M10+'25'!M10+'26'!M10+'27'!M10+'28'!M10+'29'!M10+'30'!M10+'31'!M10+'32'!M10+'33'!M10+'34'!M10+'35'!M10+'36'!M10+'37'!M10+'38'!M10+'5'!M10+'15'!M10</f>
        <v>5600960</v>
      </c>
      <c r="K18" s="103">
        <f t="shared" si="1"/>
        <v>89.039098951585345</v>
      </c>
      <c r="O18" s="44"/>
    </row>
    <row r="19" spans="2:15" ht="15" customHeight="1" x14ac:dyDescent="0.2">
      <c r="B19" s="10"/>
      <c r="C19" s="106">
        <v>611200</v>
      </c>
      <c r="D19" s="395" t="s">
        <v>304</v>
      </c>
      <c r="E19" s="101" t="s">
        <v>832</v>
      </c>
      <c r="F19" s="102">
        <f>'2'!I16</f>
        <v>6900</v>
      </c>
      <c r="G19" s="458">
        <f>'2'!J16</f>
        <v>6900</v>
      </c>
      <c r="H19" s="479">
        <f>'2'!K16</f>
        <v>27870</v>
      </c>
      <c r="I19" s="102">
        <f>'2'!L16</f>
        <v>0</v>
      </c>
      <c r="J19" s="480">
        <f>'2'!M16</f>
        <v>27870</v>
      </c>
      <c r="K19" s="103">
        <f t="shared" si="1"/>
        <v>403.91304347826093</v>
      </c>
    </row>
    <row r="20" spans="2:15" ht="12.75" customHeight="1" x14ac:dyDescent="0.2">
      <c r="B20" s="10"/>
      <c r="C20" s="105"/>
      <c r="D20" s="393"/>
      <c r="E20" s="11"/>
      <c r="F20" s="27"/>
      <c r="G20" s="264"/>
      <c r="H20" s="261"/>
      <c r="I20" s="27"/>
      <c r="J20" s="478"/>
      <c r="K20" s="58" t="str">
        <f t="shared" si="1"/>
        <v/>
      </c>
    </row>
    <row r="21" spans="2:15" ht="15" customHeight="1" x14ac:dyDescent="0.2">
      <c r="B21" s="10"/>
      <c r="C21" s="171">
        <v>612000</v>
      </c>
      <c r="D21" s="394"/>
      <c r="E21" s="370" t="s">
        <v>305</v>
      </c>
      <c r="F21" s="371">
        <f>SUM(F22:F24)</f>
        <v>3444220</v>
      </c>
      <c r="G21" s="459">
        <f t="shared" ref="G21:J21" si="6">SUM(G22:G24)</f>
        <v>3444220</v>
      </c>
      <c r="H21" s="481">
        <f t="shared" si="6"/>
        <v>3558940</v>
      </c>
      <c r="I21" s="371">
        <f t="shared" si="6"/>
        <v>0</v>
      </c>
      <c r="J21" s="482">
        <f t="shared" si="6"/>
        <v>3558940</v>
      </c>
      <c r="K21" s="372">
        <f t="shared" si="1"/>
        <v>103.3307976842362</v>
      </c>
      <c r="N21" s="44"/>
    </row>
    <row r="22" spans="2:15" s="1" customFormat="1" ht="15" customHeight="1" x14ac:dyDescent="0.2">
      <c r="B22" s="12"/>
      <c r="C22" s="105">
        <v>612100</v>
      </c>
      <c r="D22" s="393"/>
      <c r="E22" s="65" t="s">
        <v>306</v>
      </c>
      <c r="F22" s="373">
        <f>'1'!I13+'2'!I19+'6'!I13+'3'!I13+'4'!I13+'7N'!I13+'8'!I13+'9'!I13+'10'!I13+'11'!I13+'12'!I13+'13'!I13+'14'!I13+'16'!I13+'17'!I16+'18'!I13+'19'!I13+'20'!I13+'21'!I13+'23'!I13+'24'!I13+'22'!I13+'25'!I13+'26'!I13+'27'!I13+'28'!I13+'29'!I13+'30'!I13+'31'!I13+'32'!I13+'33'!I13+'34'!I13+'35'!I13+'36'!I13+'37'!I13+'38'!I13+'5'!I13+'15'!I13</f>
        <v>3380220</v>
      </c>
      <c r="G22" s="460">
        <f>'1'!J13+'2'!J19+'6'!J13+'3'!J13+'4'!J13+'7N'!J13+'8'!J13+'9'!J13+'10'!J13+'11'!J13+'12'!J13+'13'!J13+'14'!J13+'16'!J13+'17'!J16+'18'!J13+'19'!J13+'20'!J13+'21'!J13+'23'!J13+'24'!J13+'22'!J13+'25'!J13+'26'!J13+'27'!J13+'28'!J13+'29'!J13+'30'!J13+'31'!J13+'32'!J13+'33'!J13+'34'!J13+'35'!J13+'36'!J13+'37'!J13+'38'!J13+'5'!J13+'15'!J13</f>
        <v>3380220</v>
      </c>
      <c r="H22" s="483">
        <f>'1'!K13+'2'!K19+'6'!K13+'3'!K13+'4'!K13+'7N'!K13+'8'!K13+'9'!K13+'10'!K13+'11'!K13+'12'!K13+'13'!K13+'14'!K13+'16'!K13+'17'!K16+'18'!K13+'19'!K13+'20'!K13+'21'!K13+'23'!K13+'24'!K13+'22'!K13+'25'!K13+'26'!K13+'27'!K13+'28'!K13+'29'!K13+'30'!K13+'31'!K13+'32'!K13+'33'!K13+'34'!K13+'35'!K13+'36'!K13+'37'!K13+'38'!K13+'5'!K13+'15'!K13</f>
        <v>3548940</v>
      </c>
      <c r="I22" s="373">
        <f>'1'!L13+'2'!L19+'6'!L13+'3'!L13+'4'!L13+'7N'!L13+'8'!L13+'9'!L13+'10'!L13+'11'!L13+'12'!L13+'13'!L13+'14'!L13+'16'!L13+'17'!L16+'18'!L13+'19'!L13+'20'!L13+'21'!L13+'23'!L13+'24'!L13+'22'!L13+'25'!L13+'26'!L13+'27'!L13+'28'!L13+'29'!L13+'30'!L13+'31'!L13+'32'!L13+'33'!L13+'34'!L13+'35'!L13+'36'!L13+'37'!L13+'38'!L13+'5'!L13+'15'!L13</f>
        <v>0</v>
      </c>
      <c r="J22" s="484">
        <f>'1'!M13+'2'!M19+'6'!M13+'3'!M13+'4'!M13+'7N'!M13+'8'!M13+'9'!M13+'10'!M13+'11'!M13+'12'!M13+'13'!M13+'14'!M13+'16'!M13+'17'!M16+'18'!M13+'19'!M13+'20'!M13+'21'!M13+'23'!M13+'24'!M13+'22'!M13+'25'!M13+'26'!M13+'27'!M13+'28'!M13+'29'!M13+'30'!M13+'31'!M13+'32'!M13+'33'!M13+'34'!M13+'35'!M13+'36'!M13+'37'!M13+'38'!M13+'5'!M13+'15'!M13</f>
        <v>3548940</v>
      </c>
      <c r="K22" s="374">
        <f t="shared" si="1"/>
        <v>104.99139109288744</v>
      </c>
      <c r="M22" s="45"/>
    </row>
    <row r="23" spans="2:15" s="1" customFormat="1" ht="15" customHeight="1" x14ac:dyDescent="0.2">
      <c r="B23" s="12"/>
      <c r="C23" s="105">
        <v>612100</v>
      </c>
      <c r="D23" s="393" t="s">
        <v>307</v>
      </c>
      <c r="E23" s="65" t="s">
        <v>308</v>
      </c>
      <c r="F23" s="373">
        <v>0</v>
      </c>
      <c r="G23" s="460">
        <v>0</v>
      </c>
      <c r="H23" s="483">
        <f>'9'!K14</f>
        <v>0</v>
      </c>
      <c r="I23" s="373">
        <f>'9'!L14</f>
        <v>0</v>
      </c>
      <c r="J23" s="484">
        <f>'9'!M14</f>
        <v>0</v>
      </c>
      <c r="K23" s="374" t="str">
        <f t="shared" si="1"/>
        <v/>
      </c>
      <c r="M23" s="45"/>
    </row>
    <row r="24" spans="2:15" s="1" customFormat="1" ht="15" customHeight="1" x14ac:dyDescent="0.2">
      <c r="B24" s="12"/>
      <c r="C24" s="105">
        <v>612100</v>
      </c>
      <c r="D24" s="393" t="s">
        <v>776</v>
      </c>
      <c r="E24" s="65" t="s">
        <v>777</v>
      </c>
      <c r="F24" s="373">
        <f>'9'!I15</f>
        <v>64000</v>
      </c>
      <c r="G24" s="460">
        <f>'9'!J15</f>
        <v>64000</v>
      </c>
      <c r="H24" s="483">
        <f>'9'!K15</f>
        <v>10000</v>
      </c>
      <c r="I24" s="373">
        <f>'9'!L15</f>
        <v>0</v>
      </c>
      <c r="J24" s="484">
        <f>'9'!M15</f>
        <v>10000</v>
      </c>
      <c r="K24" s="374">
        <f t="shared" ref="K24" si="7">IF(G24=0,"",J24/G24*100)</f>
        <v>15.625</v>
      </c>
      <c r="M24" s="45"/>
    </row>
    <row r="25" spans="2:15" ht="11.25" customHeight="1" x14ac:dyDescent="0.2">
      <c r="B25" s="10"/>
      <c r="C25" s="105"/>
      <c r="D25" s="393"/>
      <c r="E25" s="62"/>
      <c r="F25" s="373"/>
      <c r="G25" s="460"/>
      <c r="H25" s="483"/>
      <c r="I25" s="373"/>
      <c r="J25" s="484"/>
      <c r="K25" s="374" t="str">
        <f t="shared" si="1"/>
        <v/>
      </c>
    </row>
    <row r="26" spans="2:15" ht="15" customHeight="1" x14ac:dyDescent="0.2">
      <c r="B26" s="10"/>
      <c r="C26" s="171">
        <v>613000</v>
      </c>
      <c r="D26" s="394"/>
      <c r="E26" s="370" t="s">
        <v>309</v>
      </c>
      <c r="F26" s="371">
        <f>F27+F28+F29+F30+F33+F34+F35+F38+F41</f>
        <v>7026150</v>
      </c>
      <c r="G26" s="459">
        <f t="shared" ref="G26:J26" si="8">G27+G28+G29+G30+G33+G34+G35+G38+G41</f>
        <v>7026150</v>
      </c>
      <c r="H26" s="481">
        <f t="shared" si="8"/>
        <v>6544300</v>
      </c>
      <c r="I26" s="371">
        <f t="shared" si="8"/>
        <v>720000</v>
      </c>
      <c r="J26" s="482">
        <f t="shared" si="8"/>
        <v>7264300</v>
      </c>
      <c r="K26" s="372">
        <f t="shared" si="1"/>
        <v>103.38948072557517</v>
      </c>
      <c r="N26" s="44"/>
    </row>
    <row r="27" spans="2:15" s="1" customFormat="1" ht="15" customHeight="1" x14ac:dyDescent="0.2">
      <c r="B27" s="12"/>
      <c r="C27" s="105">
        <v>613100</v>
      </c>
      <c r="D27" s="393"/>
      <c r="E27" s="62" t="s">
        <v>310</v>
      </c>
      <c r="F27" s="373">
        <f>'1'!I16+'2'!I22+'6'!I16+'3'!I16+'4'!I16+'7N'!I16+'8'!I16+'9'!I18+'10'!I16+'11'!I16+'12'!I16+'13'!I16+'14'!I16+'16'!I16+'17'!I19+'18'!I16+'19'!I16+'20'!I16+'21'!I16+'23'!I16+'24'!I16+'22'!I16+'25'!I16+'26'!I16+'27'!I16+'28'!I16+'29'!I16+'30'!I16+'31'!I16+'32'!I16+'33'!I16+'34'!I16+'35'!I16+'36'!I16+'37'!I16+'38'!I16+'5'!I16+'15'!I16</f>
        <v>165300</v>
      </c>
      <c r="G27" s="460">
        <f>'1'!J16+'2'!J22+'6'!J16+'3'!J16+'4'!J16+'7N'!J16+'8'!J16+'9'!J18+'10'!J16+'11'!J16+'12'!J16+'13'!J16+'14'!J16+'16'!J16+'17'!J19+'18'!J16+'19'!J16+'20'!J16+'21'!J16+'23'!J16+'24'!J16+'22'!J16+'25'!J16+'26'!J16+'27'!J16+'28'!J16+'29'!J16+'30'!J16+'31'!J16+'32'!J16+'33'!J16+'34'!J16+'35'!J16+'36'!J16+'37'!J16+'38'!J16+'5'!J16+'15'!J16</f>
        <v>165300</v>
      </c>
      <c r="H27" s="483">
        <f>'1'!K16+'2'!K22+'6'!K16+'3'!K16+'4'!K16+'7N'!K16+'8'!K16+'9'!K18+'10'!K16+'11'!K16+'12'!K16+'13'!K16+'14'!K16+'16'!K16+'17'!K19+'18'!K16+'19'!K16+'20'!K16+'21'!K16+'23'!K16+'24'!K16+'22'!K16+'25'!K16+'26'!K16+'27'!K16+'28'!K16+'29'!K16+'30'!K16+'31'!K16+'32'!K16+'33'!K16+'34'!K16+'35'!K16+'36'!K16+'37'!K16+'38'!K16+'5'!K16+'15'!K16</f>
        <v>178500</v>
      </c>
      <c r="I27" s="373">
        <f>'1'!L16+'2'!L22+'6'!L16+'3'!L16+'4'!L16+'7N'!L16+'8'!L16+'9'!L18+'10'!L16+'11'!L16+'12'!L16+'13'!L16+'14'!L16+'16'!L16+'17'!L19+'18'!L16+'19'!L16+'20'!L16+'21'!L16+'23'!L16+'24'!L16+'22'!L16+'25'!L16+'26'!L16+'27'!L16+'28'!L16+'29'!L16+'30'!L16+'31'!L16+'32'!L16+'33'!L16+'34'!L16+'35'!L16+'36'!L16+'37'!L16+'38'!L16+'5'!L16+'15'!L16</f>
        <v>0</v>
      </c>
      <c r="J27" s="484">
        <f>'1'!M16+'2'!M22+'6'!M16+'3'!M16+'4'!M16+'7N'!M16+'8'!M16+'9'!M18+'10'!M16+'11'!M16+'12'!M16+'13'!M16+'14'!M16+'16'!M16+'17'!M19+'18'!M16+'19'!M16+'20'!M16+'21'!M16+'23'!M16+'24'!M16+'22'!M16+'25'!M16+'26'!M16+'27'!M16+'28'!M16+'29'!M16+'30'!M16+'31'!M16+'32'!M16+'33'!M16+'34'!M16+'35'!M16+'36'!M16+'37'!M16+'38'!M16+'5'!M16+'15'!M16</f>
        <v>178500</v>
      </c>
      <c r="K27" s="374">
        <f t="shared" si="1"/>
        <v>107.98548094373865</v>
      </c>
      <c r="M27" s="45"/>
    </row>
    <row r="28" spans="2:15" ht="15" customHeight="1" x14ac:dyDescent="0.2">
      <c r="B28" s="10"/>
      <c r="C28" s="105">
        <v>613200</v>
      </c>
      <c r="D28" s="393"/>
      <c r="E28" s="62" t="s">
        <v>311</v>
      </c>
      <c r="F28" s="373">
        <f>'1'!I17+'2'!I23+'6'!I17+'3'!I17+'4'!I17+'7N'!I17+'8'!I17+'9'!I19+'10'!I17+'11'!I17+'12'!I17+'13'!I17+'14'!I17+'16'!I17+'17'!I20+'18'!I17+'19'!I17+'20'!I17+'21'!I17+'23'!I17+'24'!I17+'22'!I17+'25'!I17+'26'!I17+'27'!I17+'28'!I17+'29'!I17+'30'!I17+'31'!I17+'32'!I17+'33'!I17+'34'!I17+'35'!I17+'36'!I17+'37'!I17+'38'!I17+'5'!I17+'15'!I17</f>
        <v>826000</v>
      </c>
      <c r="G28" s="460">
        <f>'1'!J17+'2'!J23+'6'!J17+'3'!J17+'4'!J17+'7N'!J17+'8'!J17+'9'!J19+'10'!J17+'11'!J17+'12'!J17+'13'!J17+'14'!J17+'16'!J17+'17'!J20+'18'!J17+'19'!J17+'20'!J17+'21'!J17+'23'!J17+'24'!J17+'22'!J17+'25'!J17+'26'!J17+'27'!J17+'28'!J17+'29'!J17+'30'!J17+'31'!J17+'32'!J17+'33'!J17+'34'!J17+'35'!J17+'36'!J17+'37'!J17+'38'!J17+'5'!J17+'15'!J17</f>
        <v>826000</v>
      </c>
      <c r="H28" s="483">
        <f>'1'!K17+'2'!K23+'6'!K17+'3'!K17+'4'!K17+'7N'!K17+'8'!K17+'9'!K19+'10'!K17+'11'!K17+'12'!K17+'13'!K17+'14'!K17+'16'!K17+'17'!K20+'18'!K17+'19'!K17+'20'!K17+'21'!K17+'23'!K17+'24'!K17+'22'!K17+'25'!K17+'26'!K17+'27'!K17+'28'!K17+'29'!K17+'30'!K17+'31'!K17+'32'!K17+'33'!K17+'34'!K17+'35'!K17+'36'!K17+'37'!K17+'38'!K17+'5'!K17+'15'!K17</f>
        <v>873650</v>
      </c>
      <c r="I28" s="373">
        <f>'1'!L17+'2'!L23+'6'!L17+'3'!L17+'4'!L17+'7N'!L17+'8'!L17+'9'!L19+'10'!L17+'11'!L17+'12'!L17+'13'!L17+'14'!L17+'16'!L17+'17'!L20+'18'!L17+'19'!L17+'20'!L17+'21'!L17+'23'!L17+'24'!L17+'22'!L17+'25'!L17+'26'!L17+'27'!L17+'28'!L17+'29'!L17+'30'!L17+'31'!L17+'32'!L17+'33'!L17+'34'!L17+'35'!L17+'36'!L17+'37'!L17+'38'!L17+'5'!L17+'15'!L17</f>
        <v>0</v>
      </c>
      <c r="J28" s="484">
        <f>'1'!M17+'2'!M23+'6'!M17+'3'!M17+'4'!M17+'7N'!M17+'8'!M17+'9'!M19+'10'!M17+'11'!M17+'12'!M17+'13'!M17+'14'!M17+'16'!M17+'17'!M20+'18'!M17+'19'!M17+'20'!M17+'21'!M17+'23'!M17+'24'!M17+'22'!M17+'25'!M17+'26'!M17+'27'!M17+'28'!M17+'29'!M17+'30'!M17+'31'!M17+'32'!M17+'33'!M17+'34'!M17+'35'!M17+'36'!M17+'37'!M17+'38'!M17+'5'!M17+'15'!M17</f>
        <v>873650</v>
      </c>
      <c r="K28" s="374">
        <f t="shared" si="1"/>
        <v>105.76876513317191</v>
      </c>
      <c r="M28" s="45"/>
    </row>
    <row r="29" spans="2:15" ht="15" customHeight="1" x14ac:dyDescent="0.2">
      <c r="B29" s="10"/>
      <c r="C29" s="105">
        <v>613300</v>
      </c>
      <c r="D29" s="131"/>
      <c r="E29" s="62" t="s">
        <v>312</v>
      </c>
      <c r="F29" s="373">
        <f>'1'!I18+'2'!I24+'6'!I18+'3'!I18+'4'!I18+'7N'!I18+'8'!I18+'9'!I20+'10'!I18+'11'!I18+'12'!I18+'13'!I18+'14'!I18+'16'!I18+'17'!I21+'18'!I18+'19'!I18+'20'!I18+'21'!I18+'23'!I18+'24'!I18+'22'!I18+'25'!I18+'26'!I18+'27'!I18+'28'!I18+'29'!I18+'30'!I18+'31'!I18+'32'!I18+'33'!I18+'34'!I18+'35'!I18+'36'!I18+'37'!I18+'38'!I18+'5'!I18+'15'!I18</f>
        <v>420200</v>
      </c>
      <c r="G29" s="460">
        <f>'1'!J18+'2'!J24+'6'!J18+'3'!J18+'4'!J18+'7N'!J18+'8'!J18+'9'!J20+'10'!J18+'11'!J18+'12'!J18+'13'!J18+'14'!J18+'16'!J18+'17'!J21+'18'!J18+'19'!J18+'20'!J18+'21'!J18+'23'!J18+'24'!J18+'22'!J18+'25'!J18+'26'!J18+'27'!J18+'28'!J18+'29'!J18+'30'!J18+'31'!J18+'32'!J18+'33'!J18+'34'!J18+'35'!J18+'36'!J18+'37'!J18+'38'!J18+'5'!J18+'15'!J18</f>
        <v>420200</v>
      </c>
      <c r="H29" s="483">
        <f>'1'!K18+'2'!K24+'6'!K18+'3'!K18+'4'!K18+'7N'!K18+'8'!K18+'9'!K20+'10'!K18+'11'!K18+'12'!K18+'13'!K18+'14'!K18+'16'!K18+'17'!K21+'18'!K18+'19'!K18+'20'!K18+'21'!K18+'23'!K18+'24'!K18+'22'!K18+'25'!K18+'26'!K18+'27'!K18+'28'!K18+'29'!K18+'30'!K18+'31'!K18+'32'!K18+'33'!K18+'34'!K18+'35'!K18+'36'!K18+'37'!K18+'38'!K18+'5'!K18+'15'!K18</f>
        <v>434150</v>
      </c>
      <c r="I29" s="373">
        <f>'1'!L18+'2'!L24+'6'!L18+'3'!L18+'4'!L18+'7N'!L18+'8'!L18+'9'!L20+'10'!L18+'11'!L18+'12'!L18+'13'!L18+'14'!L18+'16'!L18+'17'!L21+'18'!L18+'19'!L18+'20'!L18+'21'!L18+'23'!L18+'24'!L18+'22'!L18+'25'!L18+'26'!L18+'27'!L18+'28'!L18+'29'!L18+'30'!L18+'31'!L18+'32'!L18+'33'!L18+'34'!L18+'35'!L18+'36'!L18+'37'!L18+'38'!L18+'5'!L18+'15'!L18</f>
        <v>0</v>
      </c>
      <c r="J29" s="484">
        <f>'1'!M18+'2'!M24+'6'!M18+'3'!M18+'4'!M18+'7N'!M18+'8'!M18+'9'!M20+'10'!M18+'11'!M18+'12'!M18+'13'!M18+'14'!M18+'16'!M18+'17'!M21+'18'!M18+'19'!M18+'20'!M18+'21'!M18+'23'!M18+'24'!M18+'22'!M18+'25'!M18+'26'!M18+'27'!M18+'28'!M18+'29'!M18+'30'!M18+'31'!M18+'32'!M18+'33'!M18+'34'!M18+'35'!M18+'36'!M18+'37'!M18+'38'!M18+'5'!M18+'15'!M18</f>
        <v>434150</v>
      </c>
      <c r="K29" s="374">
        <f t="shared" si="1"/>
        <v>103.31984769157545</v>
      </c>
      <c r="M29" s="45"/>
    </row>
    <row r="30" spans="2:15" ht="15" customHeight="1" x14ac:dyDescent="0.2">
      <c r="B30" s="10"/>
      <c r="C30" s="105">
        <v>613400</v>
      </c>
      <c r="D30" s="131"/>
      <c r="E30" s="62" t="s">
        <v>313</v>
      </c>
      <c r="F30" s="373">
        <f>F31+F32</f>
        <v>1664110</v>
      </c>
      <c r="G30" s="460">
        <f t="shared" ref="G30:H30" si="9">G31+G32</f>
        <v>1664110</v>
      </c>
      <c r="H30" s="483">
        <f t="shared" si="9"/>
        <v>1688970</v>
      </c>
      <c r="I30" s="373">
        <f t="shared" ref="I30" si="10">I31+I32</f>
        <v>0</v>
      </c>
      <c r="J30" s="484">
        <f t="shared" ref="J30" si="11">J31+J32</f>
        <v>1688970</v>
      </c>
      <c r="K30" s="374">
        <f t="shared" si="1"/>
        <v>101.49389162976006</v>
      </c>
      <c r="M30" s="45"/>
    </row>
    <row r="31" spans="2:15" ht="14.25" customHeight="1" x14ac:dyDescent="0.2">
      <c r="B31" s="10"/>
      <c r="C31" s="106">
        <v>613400</v>
      </c>
      <c r="D31" s="344"/>
      <c r="E31" s="375" t="s">
        <v>314</v>
      </c>
      <c r="F31" s="347">
        <f>'1'!I19+'2'!I25+'6'!I19+'3'!I19+'4'!I19+'7N'!I19+'8'!I19+'9'!I21+'10'!I19+'11'!I19+'12'!I19+'13'!I19+'14'!I19+'16'!I19+'17'!I22+'18'!I19+'19'!I19+'20'!I19+'21'!I19+'23'!I19+'24'!I19+'22'!I19+'25'!I19+'26'!I19+'27'!I19+'28'!I19+'29'!I19+'30'!I19+'31'!I19+'32'!I19+'33'!I19+'34'!I19+'35'!I19+'36'!I19+'37'!I19+'38'!I19+'5'!I19+'15'!I19</f>
        <v>939620</v>
      </c>
      <c r="G31" s="461">
        <f>'1'!J19+'2'!J25+'6'!J19+'3'!J19+'4'!J19+'7N'!J19+'8'!J19+'9'!J21+'10'!J19+'11'!J19+'12'!J19+'13'!J19+'14'!J19+'16'!J19+'17'!J22+'18'!J19+'19'!J19+'20'!J19+'21'!J19+'23'!J19+'24'!J19+'22'!J19+'25'!J19+'26'!J19+'27'!J19+'28'!J19+'29'!J19+'30'!J19+'31'!J19+'32'!J19+'33'!J19+'34'!J19+'35'!J19+'36'!J19+'37'!J19+'38'!J19+'5'!J19+'15'!J19</f>
        <v>939620</v>
      </c>
      <c r="H31" s="485">
        <f>'1'!K19+'2'!K25+'6'!K19+'3'!K19+'4'!K19+'7N'!K19+'8'!K19+'9'!K21+'10'!K19+'11'!K19+'12'!K19+'13'!K19+'14'!K19+'16'!K19+'17'!K22+'18'!K19+'19'!K19+'20'!K19+'21'!K19+'23'!K19+'24'!K19+'22'!K19+'25'!K19+'26'!K19+'27'!K19+'28'!K19+'29'!K19+'30'!K19+'31'!K19+'32'!K19+'33'!K19+'34'!K19+'35'!K19+'36'!K19+'37'!K19+'38'!K19+'5'!K19+'15'!K19</f>
        <v>805450</v>
      </c>
      <c r="I31" s="347">
        <f>'1'!L19+'2'!L25+'6'!L19+'3'!L19+'4'!L19+'7N'!L19+'8'!L19+'9'!L21+'10'!L19+'11'!L19+'12'!L19+'13'!L19+'14'!L19+'16'!L19+'17'!L22+'18'!L19+'19'!L19+'20'!L19+'21'!L19+'23'!L19+'24'!L19+'22'!L19+'25'!L19+'26'!L19+'27'!L19+'28'!L19+'29'!L19+'30'!L19+'31'!L19+'32'!L19+'33'!L19+'34'!L19+'35'!L19+'36'!L19+'37'!L19+'38'!L19+'5'!L19+'15'!L19</f>
        <v>0</v>
      </c>
      <c r="J31" s="486">
        <f>'1'!M19+'2'!M25+'6'!M19+'3'!M19+'4'!M19+'7N'!M19+'8'!M19+'9'!M21+'10'!M19+'11'!M19+'12'!M19+'13'!M19+'14'!M19+'16'!M19+'17'!M22+'18'!M19+'19'!M19+'20'!M19+'21'!M19+'23'!M19+'24'!M19+'22'!M19+'25'!M19+'26'!M19+'27'!M19+'28'!M19+'29'!M19+'30'!M19+'31'!M19+'32'!M19+'33'!M19+'34'!M19+'35'!M19+'36'!M19+'37'!M19+'38'!M19+'5'!M19+'15'!M19</f>
        <v>805450</v>
      </c>
      <c r="K31" s="348">
        <f t="shared" si="1"/>
        <v>85.72082331155147</v>
      </c>
      <c r="M31" s="45"/>
    </row>
    <row r="32" spans="2:15" ht="27.75" customHeight="1" x14ac:dyDescent="0.2">
      <c r="B32" s="10"/>
      <c r="C32" s="345">
        <v>613400</v>
      </c>
      <c r="D32" s="346" t="s">
        <v>315</v>
      </c>
      <c r="E32" s="376" t="s">
        <v>897</v>
      </c>
      <c r="F32" s="347">
        <f>'21'!I20</f>
        <v>724490</v>
      </c>
      <c r="G32" s="461">
        <f>'21'!J20</f>
        <v>724490</v>
      </c>
      <c r="H32" s="485">
        <f>'21'!K20</f>
        <v>883520</v>
      </c>
      <c r="I32" s="347">
        <f>'21'!L20</f>
        <v>0</v>
      </c>
      <c r="J32" s="486">
        <f>'21'!M20</f>
        <v>883520</v>
      </c>
      <c r="K32" s="348">
        <f t="shared" si="1"/>
        <v>121.95061353503844</v>
      </c>
      <c r="M32" s="45"/>
    </row>
    <row r="33" spans="2:13" ht="15" customHeight="1" x14ac:dyDescent="0.2">
      <c r="B33" s="10"/>
      <c r="C33" s="105">
        <v>613500</v>
      </c>
      <c r="D33" s="131"/>
      <c r="E33" s="62" t="s">
        <v>316</v>
      </c>
      <c r="F33" s="373">
        <f>'1'!I20+'2'!I26+'6'!I20+'3'!I20+'4'!I20+'7N'!I20+'8'!I20+'9'!I22+'10'!I20+'11'!I20+'12'!I20+'13'!I20+'14'!I20+'16'!I20+'17'!I23+'18'!I20+'19'!I20+'20'!I20+'21'!I21+'23'!I20+'24'!I20+'22'!I20+'25'!I20+'26'!I20+'27'!I20+'28'!I20+'29'!I20+'30'!I20+'31'!I20+'32'!I20+'33'!I20+'34'!I20+'35'!I20+'36'!I20+'37'!I20+'38'!I20+'5'!I20+'15'!I20</f>
        <v>302900</v>
      </c>
      <c r="G33" s="460">
        <f>'1'!J20+'2'!J26+'6'!J20+'3'!J20+'4'!J20+'7N'!J20+'8'!J20+'9'!J22+'10'!J20+'11'!J20+'12'!J20+'13'!J20+'14'!J20+'16'!J20+'17'!J23+'18'!J20+'19'!J20+'20'!J20+'21'!J21+'23'!J20+'24'!J20+'22'!J20+'25'!J20+'26'!J20+'27'!J20+'28'!J20+'29'!J20+'30'!J20+'31'!J20+'32'!J20+'33'!J20+'34'!J20+'35'!J20+'36'!J20+'37'!J20+'38'!J20+'5'!J20+'15'!J20</f>
        <v>302900</v>
      </c>
      <c r="H33" s="483">
        <f>'1'!K20+'2'!K26+'6'!K20+'3'!K20+'4'!K20+'7N'!K20+'8'!K20+'9'!K22+'10'!K20+'11'!K20+'12'!K20+'13'!K20+'14'!K20+'16'!K20+'17'!K23+'18'!K20+'19'!K20+'20'!K20+'21'!K21+'23'!K20+'24'!K20+'22'!K20+'25'!K20+'26'!K20+'27'!K20+'28'!K20+'29'!K20+'30'!K20+'31'!K20+'32'!K20+'33'!K20+'34'!K20+'35'!K20+'36'!K20+'37'!K20+'38'!K20+'5'!K20+'15'!K20</f>
        <v>306700</v>
      </c>
      <c r="I33" s="373">
        <f>'1'!L20+'2'!L26+'6'!L20+'3'!L20+'4'!L20+'7N'!L20+'8'!L20+'9'!L22+'10'!L20+'11'!L20+'12'!L20+'13'!L20+'14'!L20+'16'!L20+'17'!L23+'18'!L20+'19'!L20+'20'!L20+'21'!L21+'23'!L20+'24'!L20+'22'!L20+'25'!L20+'26'!L20+'27'!L20+'28'!L20+'29'!L20+'30'!L20+'31'!L20+'32'!L20+'33'!L20+'34'!L20+'35'!L20+'36'!L20+'37'!L20+'38'!L20+'5'!L20+'15'!L20</f>
        <v>0</v>
      </c>
      <c r="J33" s="484">
        <f>'1'!M20+'2'!M26+'6'!M20+'3'!M20+'4'!M20+'7N'!M20+'8'!M20+'9'!M22+'10'!M20+'11'!M20+'12'!M20+'13'!M20+'14'!M20+'16'!M20+'17'!M23+'18'!M20+'19'!M20+'20'!M20+'21'!M21+'23'!M20+'24'!M20+'22'!M20+'25'!M20+'26'!M20+'27'!M20+'28'!M20+'29'!M20+'30'!M20+'31'!M20+'32'!M20+'33'!M20+'34'!M20+'35'!M20+'36'!M20+'37'!M20+'38'!M20+'5'!M20+'15'!M20</f>
        <v>306700</v>
      </c>
      <c r="K33" s="374">
        <f t="shared" si="1"/>
        <v>101.25453945196435</v>
      </c>
      <c r="M33" s="45"/>
    </row>
    <row r="34" spans="2:13" ht="15" customHeight="1" x14ac:dyDescent="0.2">
      <c r="B34" s="10"/>
      <c r="C34" s="105">
        <v>613600</v>
      </c>
      <c r="D34" s="131"/>
      <c r="E34" s="62" t="s">
        <v>317</v>
      </c>
      <c r="F34" s="373">
        <f>'1'!I21+'2'!I27+'6'!I21+'3'!I21+'4'!I21+'7N'!I21+'8'!I21+'9'!I23+'10'!I21+'11'!I21+'12'!I21+'13'!I21+'14'!I21+'16'!I21+'17'!I24+'18'!I21+'19'!I21+'20'!I21+'21'!I22+'23'!I21+'24'!I21+'22'!I21+'25'!I21+'26'!I21+'27'!I21+'28'!I21+'29'!I21+'30'!I21+'31'!I21+'32'!I21+'33'!I21+'34'!I21+'35'!I21+'36'!I21+'37'!I21+'38'!I21+'5'!I21+'15'!I21</f>
        <v>2100</v>
      </c>
      <c r="G34" s="460">
        <f>'1'!J21+'2'!J27+'6'!J21+'3'!J21+'4'!J21+'7N'!J21+'8'!J21+'9'!J23+'10'!J21+'11'!J21+'12'!J21+'13'!J21+'14'!J21+'16'!J21+'17'!J24+'18'!J21+'19'!J21+'20'!J21+'21'!J22+'23'!J21+'24'!J21+'22'!J21+'25'!J21+'26'!J21+'27'!J21+'28'!J21+'29'!J21+'30'!J21+'31'!J21+'32'!J21+'33'!J21+'34'!J21+'35'!J21+'36'!J21+'37'!J21+'38'!J21+'5'!J21+'15'!J21</f>
        <v>2100</v>
      </c>
      <c r="H34" s="483">
        <f>'1'!K21+'2'!K27+'6'!K21+'3'!K21+'4'!K21+'7N'!K21+'8'!K21+'9'!K23+'10'!K21+'11'!K21+'12'!K21+'13'!K21+'14'!K21+'16'!K21+'17'!K24+'18'!K21+'19'!K21+'20'!K21+'21'!K22+'23'!K21+'24'!K21+'22'!K21+'25'!K21+'26'!K21+'27'!K21+'28'!K21+'29'!K21+'30'!K21+'31'!K21+'32'!K21+'33'!K21+'34'!K21+'35'!K21+'36'!K21+'37'!K21+'38'!K21+'5'!K21+'15'!K21</f>
        <v>2700</v>
      </c>
      <c r="I34" s="373">
        <f>'1'!L21+'2'!L27+'6'!L21+'3'!L21+'4'!L21+'7N'!L21+'8'!L21+'9'!L23+'10'!L21+'11'!L21+'12'!L21+'13'!L21+'14'!L21+'16'!L21+'17'!L24+'18'!L21+'19'!L21+'20'!L21+'21'!L22+'23'!L21+'24'!L21+'22'!L21+'25'!L21+'26'!L21+'27'!L21+'28'!L21+'29'!L21+'30'!L21+'31'!L21+'32'!L21+'33'!L21+'34'!L21+'35'!L21+'36'!L21+'37'!L21+'38'!L21+'5'!L21+'15'!L21</f>
        <v>0</v>
      </c>
      <c r="J34" s="484">
        <f>'1'!M21+'2'!M27+'6'!M21+'3'!M21+'4'!M21+'7N'!M21+'8'!M21+'9'!M23+'10'!M21+'11'!M21+'12'!M21+'13'!M21+'14'!M21+'16'!M21+'17'!M24+'18'!M21+'19'!M21+'20'!M21+'21'!M22+'23'!M21+'24'!M21+'22'!M21+'25'!M21+'26'!M21+'27'!M21+'28'!M21+'29'!M21+'30'!M21+'31'!M21+'32'!M21+'33'!M21+'34'!M21+'35'!M21+'36'!M21+'37'!M21+'38'!M21+'5'!M21+'15'!M21</f>
        <v>2700</v>
      </c>
      <c r="K34" s="374">
        <f t="shared" si="1"/>
        <v>128.57142857142858</v>
      </c>
      <c r="M34" s="45"/>
    </row>
    <row r="35" spans="2:13" ht="15" customHeight="1" x14ac:dyDescent="0.2">
      <c r="B35" s="10"/>
      <c r="C35" s="105">
        <v>613700</v>
      </c>
      <c r="D35" s="131"/>
      <c r="E35" s="62" t="s">
        <v>318</v>
      </c>
      <c r="F35" s="373">
        <f>F36+F37</f>
        <v>1190500</v>
      </c>
      <c r="G35" s="460">
        <f t="shared" ref="G35:H35" si="12">G36+G37</f>
        <v>1190500</v>
      </c>
      <c r="H35" s="483">
        <f t="shared" si="12"/>
        <v>457150</v>
      </c>
      <c r="I35" s="373">
        <f t="shared" ref="I35" si="13">I36+I37</f>
        <v>720000</v>
      </c>
      <c r="J35" s="484">
        <f t="shared" ref="J35" si="14">J36+J37</f>
        <v>1177150</v>
      </c>
      <c r="K35" s="374">
        <f t="shared" si="1"/>
        <v>98.878622427551448</v>
      </c>
      <c r="M35" s="45"/>
    </row>
    <row r="36" spans="2:13" ht="15" customHeight="1" x14ac:dyDescent="0.2">
      <c r="B36" s="10"/>
      <c r="C36" s="106">
        <v>613700</v>
      </c>
      <c r="D36" s="132"/>
      <c r="E36" s="375" t="s">
        <v>319</v>
      </c>
      <c r="F36" s="347">
        <f>'1'!I22+'2'!I28+'6'!I22+'3'!I22+'4'!I22+'7N'!I22+'8'!I22+'9'!I24+'10'!I22+'11'!I22+'12'!I22+'13'!I22+'14'!I22+'16'!I22+'17'!I25+'18'!I22+'19'!I22+'20'!I22+'21'!I23+'23'!I22+'24'!I22+'22'!I22+'25'!I22+'26'!I22+'27'!I22+'28'!I22+'29'!I22+'30'!I22+'31'!I22+'32'!I22+'33'!I22+'34'!I22+'35'!I22+'36'!I22+'37'!I22+'38'!I22+'5'!I22+'15'!I22</f>
        <v>430500</v>
      </c>
      <c r="G36" s="461">
        <f>'1'!J22+'2'!J28+'6'!J22+'3'!J22+'4'!J22+'7N'!J22+'8'!J22+'9'!J24+'10'!J22+'11'!J22+'12'!J22+'13'!J22+'14'!J22+'16'!J22+'17'!J25+'18'!J22+'19'!J22+'20'!J22+'21'!J23+'23'!J22+'24'!J22+'22'!J22+'25'!J22+'26'!J22+'27'!J22+'28'!J22+'29'!J22+'30'!J22+'31'!J22+'32'!J22+'33'!J22+'34'!J22+'35'!J22+'36'!J22+'37'!J22+'38'!J22+'5'!J22+'15'!J22</f>
        <v>430500</v>
      </c>
      <c r="H36" s="485">
        <f>'1'!K22+'2'!K28+'6'!K22+'3'!K22+'4'!K22+'7N'!K22+'8'!K22+'9'!K24+'10'!K22+'11'!K22+'12'!K22+'13'!K22+'14'!K22+'16'!K22+'17'!K25+'18'!K22+'19'!K22+'20'!K22+'21'!K23+'23'!K22+'24'!K22+'22'!K22+'25'!K22+'26'!K22+'27'!K22+'28'!K22+'29'!K22+'30'!K22+'31'!K22+'32'!K22+'33'!K22+'34'!K22+'35'!K22+'36'!K22+'37'!K22+'38'!K22+'5'!K22+'15'!K22</f>
        <v>457150</v>
      </c>
      <c r="I36" s="347">
        <f>'1'!L22+'2'!L28+'6'!L22+'3'!L22+'4'!L22+'7N'!L22+'8'!L22+'9'!L24+'10'!L22+'11'!L22+'12'!L22+'13'!L22+'14'!L22+'16'!L22+'17'!L25+'18'!L22+'19'!L22+'20'!L22+'21'!L23+'23'!L22+'24'!L22+'22'!L22+'25'!L22+'26'!L22+'27'!L22+'28'!L22+'29'!L22+'30'!L22+'31'!L22+'32'!L22+'33'!L22+'34'!L22+'35'!L22+'36'!L22+'37'!L22+'38'!L22+'5'!L22+'15'!L22</f>
        <v>0</v>
      </c>
      <c r="J36" s="487">
        <f>'1'!M22+'2'!M28+'6'!M22+'3'!M22+'4'!M22+'7N'!M22+'8'!M22+'9'!M24+'10'!M22+'11'!M22+'12'!M22+'13'!M22+'14'!M22+'16'!M22+'17'!M25+'18'!M22+'19'!M22+'20'!M22+'21'!M23+'23'!M22+'24'!M22+'22'!M22+'25'!M22+'26'!M22+'27'!M22+'28'!M22+'29'!M22+'30'!M22+'31'!M22+'32'!M22+'33'!M22+'34'!M22+'35'!M22+'36'!M22+'37'!M22+'38'!M22+'5'!M22+'15'!M22</f>
        <v>457150</v>
      </c>
      <c r="K36" s="348">
        <f t="shared" si="1"/>
        <v>106.19047619047619</v>
      </c>
      <c r="M36" s="45"/>
    </row>
    <row r="37" spans="2:13" ht="15" customHeight="1" x14ac:dyDescent="0.2">
      <c r="B37" s="10"/>
      <c r="C37" s="106">
        <v>613700</v>
      </c>
      <c r="D37" s="132" t="s">
        <v>320</v>
      </c>
      <c r="E37" s="375" t="s">
        <v>321</v>
      </c>
      <c r="F37" s="347">
        <f>'19'!I23</f>
        <v>760000</v>
      </c>
      <c r="G37" s="461">
        <f>'19'!J23</f>
        <v>760000</v>
      </c>
      <c r="H37" s="485">
        <f>'19'!K23</f>
        <v>0</v>
      </c>
      <c r="I37" s="347">
        <f>'19'!L23</f>
        <v>720000</v>
      </c>
      <c r="J37" s="487">
        <f>'19'!M23</f>
        <v>720000</v>
      </c>
      <c r="K37" s="348">
        <f t="shared" si="1"/>
        <v>94.73684210526315</v>
      </c>
      <c r="M37" s="45"/>
    </row>
    <row r="38" spans="2:13" ht="15" customHeight="1" x14ac:dyDescent="0.2">
      <c r="B38" s="10"/>
      <c r="C38" s="105">
        <v>613800</v>
      </c>
      <c r="D38" s="131"/>
      <c r="E38" s="62" t="s">
        <v>322</v>
      </c>
      <c r="F38" s="373">
        <f>F39+F40</f>
        <v>92910</v>
      </c>
      <c r="G38" s="460">
        <f t="shared" ref="G38:H38" si="15">G39+G40</f>
        <v>92910</v>
      </c>
      <c r="H38" s="483">
        <f t="shared" si="15"/>
        <v>111560</v>
      </c>
      <c r="I38" s="373">
        <f t="shared" ref="I38" si="16">I39+I40</f>
        <v>0</v>
      </c>
      <c r="J38" s="484">
        <f t="shared" ref="J38" si="17">J39+J40</f>
        <v>111560</v>
      </c>
      <c r="K38" s="374">
        <f t="shared" si="1"/>
        <v>120.07318910773867</v>
      </c>
      <c r="M38" s="45"/>
    </row>
    <row r="39" spans="2:13" ht="15" customHeight="1" x14ac:dyDescent="0.2">
      <c r="B39" s="10"/>
      <c r="C39" s="106">
        <v>613800</v>
      </c>
      <c r="D39" s="132"/>
      <c r="E39" s="375" t="s">
        <v>323</v>
      </c>
      <c r="F39" s="347">
        <f>'1'!I23+'2'!I29+'6'!I23+'3'!I23+'4'!I23+'7N'!I23+'8'!I23+'9'!I25+'10'!I23+'11'!I23+'12'!I23+'13'!I23+'14'!I23+'16'!I23+'17'!I26+'18'!I23+'19'!I24+'20'!I23+'21'!I24+'23'!I23+'24'!I23+'22'!I23+'25'!I23+'26'!I23+'27'!I23+'28'!I23+'29'!I23+'30'!I23+'31'!I23+'32'!I23+'33'!I23+'34'!I23+'35'!I23+'36'!I23+'37'!I23+'38'!I23+'5'!I23+'15'!I23</f>
        <v>92910</v>
      </c>
      <c r="G39" s="461">
        <f>'1'!J23+'2'!J29+'6'!J23+'3'!J23+'4'!J23+'7N'!J23+'8'!J23+'9'!J25+'10'!J23+'11'!J23+'12'!J23+'13'!J23+'14'!J23+'16'!J23+'17'!J26+'18'!J23+'19'!J24+'20'!J23+'21'!J24+'23'!J23+'24'!J23+'22'!J23+'25'!J23+'26'!J23+'27'!J23+'28'!J23+'29'!J23+'30'!J23+'31'!J23+'32'!J23+'33'!J23+'34'!J23+'35'!J23+'36'!J23+'37'!J23+'38'!J23+'5'!J23+'15'!J23</f>
        <v>92910</v>
      </c>
      <c r="H39" s="485">
        <f>'1'!K23+'2'!K29+'6'!K23+'3'!K23+'4'!K23+'7N'!K23+'8'!K23+'9'!K25+'10'!K23+'11'!K23+'12'!K23+'13'!K23+'14'!K23+'16'!K23+'17'!K26+'18'!K23+'19'!K24+'20'!K23+'21'!K24+'23'!K23+'24'!K23+'22'!K23+'25'!K23+'26'!K23+'27'!K23+'28'!K23+'29'!K23+'30'!K23+'31'!K23+'32'!K23+'33'!K23+'34'!K23+'35'!K23+'36'!K23+'37'!K23+'38'!K23+'5'!K23+'15'!K23</f>
        <v>111560</v>
      </c>
      <c r="I39" s="347">
        <f>'1'!L23+'2'!L29+'6'!L23+'3'!L23+'4'!L23+'7N'!L23+'8'!L23+'9'!L25+'10'!L23+'11'!L23+'12'!L23+'13'!L23+'14'!L23+'16'!L23+'17'!L26+'18'!L23+'19'!L24+'20'!L23+'21'!L24+'23'!L23+'24'!L23+'22'!L23+'25'!L23+'26'!L23+'27'!L23+'28'!L23+'29'!L23+'30'!L23+'31'!L23+'32'!L23+'33'!L23+'34'!L23+'35'!L23+'36'!L23+'37'!L23+'38'!L23+'5'!L23+'15'!L23</f>
        <v>0</v>
      </c>
      <c r="J39" s="487">
        <f>'1'!M23+'2'!M29+'6'!M23+'3'!M23+'4'!M23+'7N'!M23+'8'!M23+'9'!M25+'10'!M23+'11'!M23+'12'!M23+'13'!M23+'14'!M23+'16'!M23+'17'!M26+'18'!M23+'19'!M24+'20'!M23+'21'!M24+'23'!M23+'24'!M23+'22'!M23+'25'!M23+'26'!M23+'27'!M23+'28'!M23+'29'!M23+'30'!M23+'31'!M23+'32'!M23+'33'!M23+'34'!M23+'35'!M23+'36'!M23+'37'!M23+'38'!M23+'5'!M23+'15'!M23</f>
        <v>111560</v>
      </c>
      <c r="K39" s="348">
        <f t="shared" si="1"/>
        <v>120.07318910773867</v>
      </c>
      <c r="M39" s="45"/>
    </row>
    <row r="40" spans="2:13" ht="15" customHeight="1" x14ac:dyDescent="0.2">
      <c r="B40" s="10"/>
      <c r="C40" s="106">
        <v>613800</v>
      </c>
      <c r="D40" s="132"/>
      <c r="E40" s="375" t="s">
        <v>324</v>
      </c>
      <c r="F40" s="347">
        <f>'21'!I25</f>
        <v>0</v>
      </c>
      <c r="G40" s="461">
        <f>'21'!J25</f>
        <v>0</v>
      </c>
      <c r="H40" s="485">
        <f>'21'!K25</f>
        <v>0</v>
      </c>
      <c r="I40" s="347">
        <f>'21'!L25</f>
        <v>0</v>
      </c>
      <c r="J40" s="487">
        <f>'21'!M25</f>
        <v>0</v>
      </c>
      <c r="K40" s="348" t="str">
        <f t="shared" si="1"/>
        <v/>
      </c>
      <c r="M40" s="45"/>
    </row>
    <row r="41" spans="2:13" ht="15" customHeight="1" x14ac:dyDescent="0.2">
      <c r="B41" s="10"/>
      <c r="C41" s="105">
        <v>613900</v>
      </c>
      <c r="D41" s="131"/>
      <c r="E41" s="62" t="s">
        <v>325</v>
      </c>
      <c r="F41" s="377">
        <f>SUM(F42:F50)</f>
        <v>2362130</v>
      </c>
      <c r="G41" s="462">
        <f t="shared" ref="G41:H41" si="18">SUM(G42:G50)</f>
        <v>2362130</v>
      </c>
      <c r="H41" s="488">
        <f t="shared" si="18"/>
        <v>2490920</v>
      </c>
      <c r="I41" s="377">
        <f t="shared" ref="I41" si="19">SUM(I42:I50)</f>
        <v>0</v>
      </c>
      <c r="J41" s="489">
        <f t="shared" ref="J41" si="20">SUM(J42:J50)</f>
        <v>2490920</v>
      </c>
      <c r="K41" s="374">
        <f t="shared" si="1"/>
        <v>105.45228247386893</v>
      </c>
      <c r="M41" s="45"/>
    </row>
    <row r="42" spans="2:13" ht="15" customHeight="1" x14ac:dyDescent="0.2">
      <c r="B42" s="10"/>
      <c r="C42" s="106">
        <v>613900</v>
      </c>
      <c r="D42" s="132"/>
      <c r="E42" s="375" t="s">
        <v>326</v>
      </c>
      <c r="F42" s="378">
        <f>'1'!I24+'2'!I30+'6'!I24+'3'!I24+'4'!I24+'7N'!I24+'8'!I24+'9'!I26+'10'!I24+'11'!I24+'12'!I24+'13'!I24+'14'!I24+'16'!I24+'17'!I27+'18'!I24+'19'!I25+'20'!I24+'21'!I26+'23'!I24+'24'!I24+'22'!I24+'25'!I24+'26'!I24+'27'!I24+'28'!I24+'29'!I24+'30'!I24+'31'!I24+'32'!I24+'33'!I24+'34'!I24+'35'!I24+'36'!I24+'37'!I24+'38'!I24+'5'!I24+'15'!I24</f>
        <v>1881670</v>
      </c>
      <c r="G42" s="463">
        <f>'1'!J24+'2'!J30+'6'!J24+'3'!J24+'4'!J24+'7N'!J24+'8'!J24+'9'!J26+'10'!J24+'11'!J24+'12'!J24+'13'!J24+'14'!J24+'16'!J24+'17'!J27+'18'!J24+'19'!J25+'20'!J24+'21'!J26+'23'!J24+'24'!J24+'22'!J24+'25'!J24+'26'!J24+'27'!J24+'28'!J24+'29'!J24+'30'!J24+'31'!J24+'32'!J24+'33'!J24+'34'!J24+'35'!J24+'36'!J24+'37'!J24+'38'!J24+'5'!J24+'15'!J24</f>
        <v>1881670</v>
      </c>
      <c r="H42" s="490">
        <f>'1'!K24+'2'!K30+'6'!K24+'3'!K24+'4'!K24+'7N'!K24+'8'!K24+'9'!K26+'10'!K24+'11'!K24+'12'!K24+'13'!K24+'14'!K24+'16'!K24+'17'!K27+'18'!K24+'19'!K25+'20'!K24+'21'!K26+'23'!K24+'24'!K24+'22'!K24+'25'!K24+'26'!K24+'27'!K24+'28'!K24+'29'!K24+'30'!K24+'31'!K24+'32'!K24+'33'!K24+'34'!K24+'35'!K24+'36'!K24+'37'!K24+'38'!K24+'5'!K24+'15'!K24</f>
        <v>1999920</v>
      </c>
      <c r="I42" s="378">
        <f>'1'!L24+'2'!L30+'6'!L24+'3'!L24+'4'!L24+'7N'!L24+'8'!L24+'9'!L26+'10'!L24+'11'!L24+'12'!L24+'13'!L24+'14'!L24+'16'!L24+'17'!L27+'18'!L24+'19'!L25+'20'!L24+'21'!L26+'23'!L24+'24'!L24+'22'!L24+'25'!L24+'26'!L24+'27'!L24+'28'!L24+'29'!L24+'30'!L24+'31'!L24+'32'!L24+'33'!L24+'34'!L24+'35'!L24+'36'!L24+'37'!L24+'38'!L24+'5'!L24+'15'!L24</f>
        <v>0</v>
      </c>
      <c r="J42" s="491">
        <f>'1'!M24+'2'!M30+'6'!M24+'3'!M24+'4'!M24+'7N'!M24+'8'!M24+'9'!M26+'10'!M24+'11'!M24+'12'!M24+'13'!M24+'14'!M24+'16'!M24+'17'!M27+'18'!M24+'19'!M25+'20'!M24+'21'!M26+'23'!M24+'24'!M24+'22'!M24+'25'!M24+'26'!M24+'27'!M24+'28'!M24+'29'!M24+'30'!M24+'31'!M24+'32'!M24+'33'!M24+'34'!M24+'35'!M24+'36'!M24+'37'!M24+'38'!M24+'5'!M24+'15'!M24</f>
        <v>1999920</v>
      </c>
      <c r="K42" s="348">
        <f t="shared" ref="K42:K76" si="21">IF(G42=0,"",J42/G42*100)</f>
        <v>106.28431127668507</v>
      </c>
      <c r="M42" s="45"/>
    </row>
    <row r="43" spans="2:13" ht="15" customHeight="1" x14ac:dyDescent="0.2">
      <c r="B43" s="10"/>
      <c r="C43" s="106">
        <v>613900</v>
      </c>
      <c r="D43" s="132" t="s">
        <v>327</v>
      </c>
      <c r="E43" s="375" t="s">
        <v>328</v>
      </c>
      <c r="F43" s="347">
        <f>'10'!I25</f>
        <v>44500</v>
      </c>
      <c r="G43" s="461">
        <f>'10'!J25</f>
        <v>44500</v>
      </c>
      <c r="H43" s="485">
        <f>'10'!K25</f>
        <v>44500</v>
      </c>
      <c r="I43" s="347">
        <f>'10'!L25</f>
        <v>0</v>
      </c>
      <c r="J43" s="487">
        <f>'10'!M25</f>
        <v>44500</v>
      </c>
      <c r="K43" s="348">
        <f t="shared" si="21"/>
        <v>100</v>
      </c>
      <c r="M43" s="45"/>
    </row>
    <row r="44" spans="2:13" s="296" customFormat="1" ht="15" customHeight="1" x14ac:dyDescent="0.2">
      <c r="B44" s="297"/>
      <c r="C44" s="304">
        <v>613900</v>
      </c>
      <c r="D44" s="305" t="s">
        <v>329</v>
      </c>
      <c r="E44" s="379" t="s">
        <v>330</v>
      </c>
      <c r="F44" s="380">
        <f>'10'!I26</f>
        <v>135000</v>
      </c>
      <c r="G44" s="464">
        <f>'10'!J26</f>
        <v>135000</v>
      </c>
      <c r="H44" s="492">
        <f>'10'!K26</f>
        <v>130000</v>
      </c>
      <c r="I44" s="380">
        <f>'10'!L26</f>
        <v>0</v>
      </c>
      <c r="J44" s="493">
        <f>'10'!M26</f>
        <v>130000</v>
      </c>
      <c r="K44" s="381">
        <f t="shared" si="21"/>
        <v>96.296296296296291</v>
      </c>
      <c r="M44" s="45"/>
    </row>
    <row r="45" spans="2:13" ht="15" customHeight="1" x14ac:dyDescent="0.2">
      <c r="B45" s="10"/>
      <c r="C45" s="106">
        <v>613900</v>
      </c>
      <c r="D45" s="132" t="s">
        <v>331</v>
      </c>
      <c r="E45" s="375" t="s">
        <v>332</v>
      </c>
      <c r="F45" s="347">
        <f>'17'!I28</f>
        <v>99560</v>
      </c>
      <c r="G45" s="461">
        <f>'17'!J28</f>
        <v>99560</v>
      </c>
      <c r="H45" s="485">
        <f>'17'!K28</f>
        <v>111500</v>
      </c>
      <c r="I45" s="347">
        <f>'17'!L28</f>
        <v>0</v>
      </c>
      <c r="J45" s="487">
        <f>'17'!M28</f>
        <v>111500</v>
      </c>
      <c r="K45" s="348">
        <f t="shared" si="21"/>
        <v>111.99276817999197</v>
      </c>
      <c r="M45" s="45"/>
    </row>
    <row r="46" spans="2:13" ht="15" customHeight="1" x14ac:dyDescent="0.2">
      <c r="B46" s="10"/>
      <c r="C46" s="106">
        <v>613900</v>
      </c>
      <c r="D46" s="132" t="s">
        <v>333</v>
      </c>
      <c r="E46" s="375" t="s">
        <v>334</v>
      </c>
      <c r="F46" s="347">
        <f>'21'!I27</f>
        <v>51000</v>
      </c>
      <c r="G46" s="461">
        <f>'21'!J27</f>
        <v>51000</v>
      </c>
      <c r="H46" s="485">
        <f>'21'!K27</f>
        <v>55000</v>
      </c>
      <c r="I46" s="347">
        <f>'21'!L27</f>
        <v>0</v>
      </c>
      <c r="J46" s="487">
        <f>'21'!M27</f>
        <v>55000</v>
      </c>
      <c r="K46" s="348">
        <f t="shared" si="21"/>
        <v>107.84313725490196</v>
      </c>
      <c r="M46" s="45"/>
    </row>
    <row r="47" spans="2:13" ht="15" customHeight="1" x14ac:dyDescent="0.2">
      <c r="B47" s="10"/>
      <c r="C47" s="106">
        <v>613900</v>
      </c>
      <c r="D47" s="132" t="s">
        <v>304</v>
      </c>
      <c r="E47" s="375" t="s">
        <v>833</v>
      </c>
      <c r="F47" s="347">
        <f>'2'!I31</f>
        <v>7400</v>
      </c>
      <c r="G47" s="461">
        <f>'2'!J31</f>
        <v>7400</v>
      </c>
      <c r="H47" s="485">
        <f>'2'!K31</f>
        <v>10000</v>
      </c>
      <c r="I47" s="347">
        <f>'2'!L31</f>
        <v>0</v>
      </c>
      <c r="J47" s="487">
        <f>'2'!M31</f>
        <v>10000</v>
      </c>
      <c r="K47" s="348">
        <f t="shared" si="21"/>
        <v>135.13513513513513</v>
      </c>
      <c r="M47" s="45"/>
    </row>
    <row r="48" spans="2:13" ht="15" customHeight="1" x14ac:dyDescent="0.2">
      <c r="B48" s="10"/>
      <c r="C48" s="106">
        <v>613900</v>
      </c>
      <c r="D48" s="132" t="s">
        <v>335</v>
      </c>
      <c r="E48" s="375" t="s">
        <v>336</v>
      </c>
      <c r="F48" s="347">
        <f>'2'!I32</f>
        <v>90000</v>
      </c>
      <c r="G48" s="461">
        <f>'2'!J32</f>
        <v>90000</v>
      </c>
      <c r="H48" s="485">
        <f>'2'!K32</f>
        <v>90000</v>
      </c>
      <c r="I48" s="347">
        <f>'2'!L32</f>
        <v>0</v>
      </c>
      <c r="J48" s="487">
        <f>'2'!M32</f>
        <v>90000</v>
      </c>
      <c r="K48" s="348">
        <f t="shared" si="21"/>
        <v>100</v>
      </c>
      <c r="M48" s="45"/>
    </row>
    <row r="49" spans="2:13" ht="15" customHeight="1" x14ac:dyDescent="0.2">
      <c r="B49" s="10"/>
      <c r="C49" s="106">
        <v>613900</v>
      </c>
      <c r="D49" s="132" t="s">
        <v>337</v>
      </c>
      <c r="E49" s="375" t="s">
        <v>338</v>
      </c>
      <c r="F49" s="347">
        <f>'16'!I25</f>
        <v>5000</v>
      </c>
      <c r="G49" s="461">
        <f>'16'!J25</f>
        <v>5000</v>
      </c>
      <c r="H49" s="485">
        <f>'16'!K25</f>
        <v>0</v>
      </c>
      <c r="I49" s="347">
        <f>'16'!L25</f>
        <v>0</v>
      </c>
      <c r="J49" s="487">
        <f>'16'!M25</f>
        <v>0</v>
      </c>
      <c r="K49" s="348">
        <f t="shared" si="21"/>
        <v>0</v>
      </c>
      <c r="M49" s="45"/>
    </row>
    <row r="50" spans="2:13" ht="26.25" customHeight="1" x14ac:dyDescent="0.2">
      <c r="B50" s="10"/>
      <c r="C50" s="345">
        <v>613900</v>
      </c>
      <c r="D50" s="353" t="s">
        <v>796</v>
      </c>
      <c r="E50" s="376" t="s">
        <v>789</v>
      </c>
      <c r="F50" s="347">
        <f>'21'!I28</f>
        <v>48000</v>
      </c>
      <c r="G50" s="461">
        <f>'21'!J28</f>
        <v>48000</v>
      </c>
      <c r="H50" s="485">
        <f>'21'!K28</f>
        <v>50000</v>
      </c>
      <c r="I50" s="347">
        <f>'21'!L28</f>
        <v>0</v>
      </c>
      <c r="J50" s="487">
        <f>'21'!M28</f>
        <v>50000</v>
      </c>
      <c r="K50" s="348">
        <f t="shared" ref="K50" si="22">IF(G50=0,"",J50/G50*100)</f>
        <v>104.16666666666667</v>
      </c>
      <c r="M50" s="45"/>
    </row>
    <row r="51" spans="2:13" ht="11.25" customHeight="1" x14ac:dyDescent="0.2">
      <c r="B51" s="10"/>
      <c r="C51" s="105"/>
      <c r="D51" s="131"/>
      <c r="E51" s="62"/>
      <c r="F51" s="382"/>
      <c r="G51" s="465"/>
      <c r="H51" s="494"/>
      <c r="I51" s="382"/>
      <c r="J51" s="484"/>
      <c r="K51" s="374" t="str">
        <f t="shared" si="21"/>
        <v/>
      </c>
    </row>
    <row r="52" spans="2:13" ht="15" customHeight="1" x14ac:dyDescent="0.2">
      <c r="B52" s="10"/>
      <c r="C52" s="171">
        <v>614000</v>
      </c>
      <c r="D52" s="172"/>
      <c r="E52" s="370" t="s">
        <v>339</v>
      </c>
      <c r="F52" s="371">
        <f>F53+F63+F72+F84+F89</f>
        <v>16693500</v>
      </c>
      <c r="G52" s="459">
        <f>G53+G63+G72+G84+G89</f>
        <v>16693500</v>
      </c>
      <c r="H52" s="481">
        <f>H53+H63+H72+H84+H89</f>
        <v>15153680</v>
      </c>
      <c r="I52" s="371">
        <f>I53+I63+I72+I84+I89</f>
        <v>1508790</v>
      </c>
      <c r="J52" s="482">
        <f>J53+J63+J72+J84+J89</f>
        <v>16662470</v>
      </c>
      <c r="K52" s="372">
        <f t="shared" si="21"/>
        <v>99.814119267978555</v>
      </c>
      <c r="M52" s="53"/>
    </row>
    <row r="53" spans="2:13" ht="15" customHeight="1" x14ac:dyDescent="0.2">
      <c r="B53" s="10"/>
      <c r="C53" s="351">
        <v>614100</v>
      </c>
      <c r="D53" s="352"/>
      <c r="E53" s="62" t="s">
        <v>340</v>
      </c>
      <c r="F53" s="382">
        <f>SUM(F54:F62)</f>
        <v>3628000</v>
      </c>
      <c r="G53" s="465">
        <f t="shared" ref="G53:J53" si="23">SUM(G54:G62)</f>
        <v>3628000</v>
      </c>
      <c r="H53" s="494">
        <f t="shared" si="23"/>
        <v>2000000</v>
      </c>
      <c r="I53" s="382">
        <f t="shared" si="23"/>
        <v>737470</v>
      </c>
      <c r="J53" s="484">
        <f t="shared" si="23"/>
        <v>2737470</v>
      </c>
      <c r="K53" s="374">
        <f t="shared" si="21"/>
        <v>75.45396912899669</v>
      </c>
    </row>
    <row r="54" spans="2:13" s="46" customFormat="1" ht="15" customHeight="1" x14ac:dyDescent="0.2">
      <c r="B54" s="47"/>
      <c r="C54" s="345">
        <v>614100</v>
      </c>
      <c r="D54" s="353" t="s">
        <v>341</v>
      </c>
      <c r="E54" s="375" t="s">
        <v>342</v>
      </c>
      <c r="F54" s="347">
        <f>'2'!I35</f>
        <v>200000</v>
      </c>
      <c r="G54" s="461">
        <f>'2'!J35</f>
        <v>200000</v>
      </c>
      <c r="H54" s="485">
        <f>'2'!K35</f>
        <v>350000</v>
      </c>
      <c r="I54" s="347">
        <f>'2'!L35</f>
        <v>0</v>
      </c>
      <c r="J54" s="487">
        <f>'2'!M35</f>
        <v>350000</v>
      </c>
      <c r="K54" s="348">
        <f t="shared" si="21"/>
        <v>175</v>
      </c>
      <c r="M54" s="44"/>
    </row>
    <row r="55" spans="2:13" s="1" customFormat="1" ht="15" customHeight="1" x14ac:dyDescent="0.2">
      <c r="B55" s="12"/>
      <c r="C55" s="345">
        <v>614100</v>
      </c>
      <c r="D55" s="354" t="s">
        <v>343</v>
      </c>
      <c r="E55" s="383" t="s">
        <v>344</v>
      </c>
      <c r="F55" s="347">
        <f>'16'!I28</f>
        <v>50000</v>
      </c>
      <c r="G55" s="461">
        <f>'16'!J28</f>
        <v>50000</v>
      </c>
      <c r="H55" s="485">
        <f>'16'!K28</f>
        <v>70000</v>
      </c>
      <c r="I55" s="347">
        <f>'16'!L28</f>
        <v>0</v>
      </c>
      <c r="J55" s="487">
        <f>'16'!M28</f>
        <v>70000</v>
      </c>
      <c r="K55" s="348">
        <f t="shared" si="21"/>
        <v>140</v>
      </c>
      <c r="M55" s="44"/>
    </row>
    <row r="56" spans="2:13" s="1" customFormat="1" ht="15" customHeight="1" x14ac:dyDescent="0.2">
      <c r="B56" s="12"/>
      <c r="C56" s="345">
        <v>614100</v>
      </c>
      <c r="D56" s="353" t="s">
        <v>345</v>
      </c>
      <c r="E56" s="384" t="s">
        <v>346</v>
      </c>
      <c r="F56" s="347">
        <f>'17'!I31</f>
        <v>800000</v>
      </c>
      <c r="G56" s="461">
        <f>'17'!J31</f>
        <v>800000</v>
      </c>
      <c r="H56" s="485">
        <f>'17'!K31</f>
        <v>500000</v>
      </c>
      <c r="I56" s="347">
        <f>'17'!L31</f>
        <v>0</v>
      </c>
      <c r="J56" s="487">
        <f>'17'!M31</f>
        <v>500000</v>
      </c>
      <c r="K56" s="348">
        <f t="shared" si="21"/>
        <v>62.5</v>
      </c>
      <c r="M56" s="44"/>
    </row>
    <row r="57" spans="2:13" s="1" customFormat="1" ht="15" customHeight="1" x14ac:dyDescent="0.2">
      <c r="B57" s="12"/>
      <c r="C57" s="349">
        <v>614100</v>
      </c>
      <c r="D57" s="350"/>
      <c r="E57" s="375" t="s">
        <v>347</v>
      </c>
      <c r="F57" s="347">
        <f>'18'!I27</f>
        <v>900000</v>
      </c>
      <c r="G57" s="461">
        <f>'18'!J27</f>
        <v>900000</v>
      </c>
      <c r="H57" s="485">
        <f>'18'!K27</f>
        <v>500000</v>
      </c>
      <c r="I57" s="347">
        <f>'18'!L27</f>
        <v>0</v>
      </c>
      <c r="J57" s="487">
        <f>'18'!M27</f>
        <v>500000</v>
      </c>
      <c r="K57" s="348">
        <f t="shared" si="21"/>
        <v>55.555555555555557</v>
      </c>
      <c r="M57" s="44"/>
    </row>
    <row r="58" spans="2:13" s="1" customFormat="1" ht="15" customHeight="1" x14ac:dyDescent="0.2">
      <c r="B58" s="12"/>
      <c r="C58" s="345">
        <v>614100</v>
      </c>
      <c r="D58" s="354" t="s">
        <v>348</v>
      </c>
      <c r="E58" s="383" t="s">
        <v>349</v>
      </c>
      <c r="F58" s="347">
        <f>'19'!I28</f>
        <v>450000</v>
      </c>
      <c r="G58" s="461">
        <f>'19'!J28</f>
        <v>450000</v>
      </c>
      <c r="H58" s="485">
        <f>'19'!K28</f>
        <v>50000</v>
      </c>
      <c r="I58" s="347">
        <f>'19'!L28</f>
        <v>537470</v>
      </c>
      <c r="J58" s="487">
        <f>'19'!M28</f>
        <v>587470</v>
      </c>
      <c r="K58" s="348">
        <f t="shared" si="21"/>
        <v>130.54888888888888</v>
      </c>
      <c r="M58" s="44"/>
    </row>
    <row r="59" spans="2:13" s="1" customFormat="1" ht="15" customHeight="1" x14ac:dyDescent="0.2">
      <c r="B59" s="12"/>
      <c r="C59" s="345">
        <v>614100</v>
      </c>
      <c r="D59" s="353" t="s">
        <v>350</v>
      </c>
      <c r="E59" s="375" t="s">
        <v>351</v>
      </c>
      <c r="F59" s="347">
        <f>'20'!I27</f>
        <v>200000</v>
      </c>
      <c r="G59" s="461">
        <f>'20'!J27</f>
        <v>200000</v>
      </c>
      <c r="H59" s="485">
        <f>'20'!K27</f>
        <v>0</v>
      </c>
      <c r="I59" s="347">
        <f>'20'!L27</f>
        <v>200000</v>
      </c>
      <c r="J59" s="487">
        <f>'20'!M27</f>
        <v>200000</v>
      </c>
      <c r="K59" s="348">
        <f t="shared" si="21"/>
        <v>100</v>
      </c>
      <c r="M59" s="44"/>
    </row>
    <row r="60" spans="2:13" s="1" customFormat="1" ht="18.75" customHeight="1" x14ac:dyDescent="0.2">
      <c r="B60" s="12"/>
      <c r="C60" s="349">
        <v>614100</v>
      </c>
      <c r="D60" s="350" t="s">
        <v>352</v>
      </c>
      <c r="E60" s="574" t="s">
        <v>793</v>
      </c>
      <c r="F60" s="347">
        <f>'21'!I31</f>
        <v>120000</v>
      </c>
      <c r="G60" s="461">
        <f>'21'!J31</f>
        <v>120000</v>
      </c>
      <c r="H60" s="485">
        <f>'21'!K31</f>
        <v>120000</v>
      </c>
      <c r="I60" s="347">
        <f>'21'!L31</f>
        <v>0</v>
      </c>
      <c r="J60" s="487">
        <f>'21'!M31</f>
        <v>120000</v>
      </c>
      <c r="K60" s="348">
        <f t="shared" si="21"/>
        <v>100</v>
      </c>
      <c r="M60" s="44"/>
    </row>
    <row r="61" spans="2:13" s="1" customFormat="1" ht="15" customHeight="1" x14ac:dyDescent="0.2">
      <c r="B61" s="12"/>
      <c r="C61" s="349" t="s">
        <v>353</v>
      </c>
      <c r="D61" s="350" t="s">
        <v>354</v>
      </c>
      <c r="E61" s="384" t="s">
        <v>355</v>
      </c>
      <c r="F61" s="347">
        <f>'21'!I32</f>
        <v>408000</v>
      </c>
      <c r="G61" s="461">
        <f>'21'!J32</f>
        <v>408000</v>
      </c>
      <c r="H61" s="485">
        <f>'21'!K32</f>
        <v>410000</v>
      </c>
      <c r="I61" s="347">
        <f>'21'!L32</f>
        <v>0</v>
      </c>
      <c r="J61" s="487">
        <f>'21'!M32</f>
        <v>410000</v>
      </c>
      <c r="K61" s="348">
        <f t="shared" si="21"/>
        <v>100.49019607843137</v>
      </c>
      <c r="M61" s="44"/>
    </row>
    <row r="62" spans="2:13" s="1" customFormat="1" ht="15" customHeight="1" x14ac:dyDescent="0.2">
      <c r="B62" s="12"/>
      <c r="C62" s="349" t="s">
        <v>353</v>
      </c>
      <c r="D62" s="350" t="s">
        <v>795</v>
      </c>
      <c r="E62" s="384" t="s">
        <v>794</v>
      </c>
      <c r="F62" s="347">
        <f>'34'!I27</f>
        <v>500000</v>
      </c>
      <c r="G62" s="461">
        <f>'34'!J27</f>
        <v>500000</v>
      </c>
      <c r="H62" s="485">
        <f>'34'!K27</f>
        <v>0</v>
      </c>
      <c r="I62" s="347">
        <f>'34'!L27</f>
        <v>0</v>
      </c>
      <c r="J62" s="487">
        <f>SUM(H62:I62)</f>
        <v>0</v>
      </c>
      <c r="K62" s="348">
        <f t="shared" ref="K62" si="24">IF(G62=0,"",J62/G62*100)</f>
        <v>0</v>
      </c>
      <c r="M62" s="44"/>
    </row>
    <row r="63" spans="2:13" ht="15" customHeight="1" x14ac:dyDescent="0.2">
      <c r="B63" s="10"/>
      <c r="C63" s="552" t="s">
        <v>356</v>
      </c>
      <c r="D63" s="355"/>
      <c r="E63" s="385" t="s">
        <v>357</v>
      </c>
      <c r="F63" s="382">
        <f>SUM(F64:F71)</f>
        <v>7619000</v>
      </c>
      <c r="G63" s="465">
        <f>SUM(G64:G71)</f>
        <v>7619000</v>
      </c>
      <c r="H63" s="494">
        <f>SUM(H64:H71)</f>
        <v>7778680</v>
      </c>
      <c r="I63" s="382">
        <f>SUM(I64:I71)</f>
        <v>371320</v>
      </c>
      <c r="J63" s="484">
        <f>SUM(J64:J71)</f>
        <v>8150000</v>
      </c>
      <c r="K63" s="374">
        <f t="shared" si="21"/>
        <v>106.969418558866</v>
      </c>
    </row>
    <row r="64" spans="2:13" s="1" customFormat="1" ht="27" customHeight="1" x14ac:dyDescent="0.2">
      <c r="B64" s="12"/>
      <c r="C64" s="349">
        <v>614200</v>
      </c>
      <c r="D64" s="350" t="s">
        <v>359</v>
      </c>
      <c r="E64" s="386" t="s">
        <v>360</v>
      </c>
      <c r="F64" s="347">
        <f>'6'!I27</f>
        <v>300000</v>
      </c>
      <c r="G64" s="461">
        <f>'6'!J27</f>
        <v>300000</v>
      </c>
      <c r="H64" s="485">
        <f>'6'!K27</f>
        <v>400000</v>
      </c>
      <c r="I64" s="347">
        <f>'6'!L27</f>
        <v>0</v>
      </c>
      <c r="J64" s="487">
        <f>'6'!M27</f>
        <v>400000</v>
      </c>
      <c r="K64" s="348">
        <f t="shared" si="21"/>
        <v>133.33333333333331</v>
      </c>
      <c r="M64" s="44"/>
    </row>
    <row r="65" spans="2:13" s="1" customFormat="1" ht="15" customHeight="1" x14ac:dyDescent="0.2">
      <c r="B65" s="12"/>
      <c r="C65" s="349" t="s">
        <v>356</v>
      </c>
      <c r="D65" s="350" t="s">
        <v>361</v>
      </c>
      <c r="E65" s="375" t="s">
        <v>362</v>
      </c>
      <c r="F65" s="347">
        <f>'18'!I28</f>
        <v>95000</v>
      </c>
      <c r="G65" s="461">
        <f>'18'!J28</f>
        <v>95000</v>
      </c>
      <c r="H65" s="485">
        <f>'18'!K28</f>
        <v>150000</v>
      </c>
      <c r="I65" s="347">
        <f>'18'!L28</f>
        <v>0</v>
      </c>
      <c r="J65" s="487">
        <f>'18'!M28</f>
        <v>150000</v>
      </c>
      <c r="K65" s="348">
        <f t="shared" si="21"/>
        <v>157.89473684210526</v>
      </c>
      <c r="M65" s="44"/>
    </row>
    <row r="66" spans="2:13" s="1" customFormat="1" ht="15" customHeight="1" x14ac:dyDescent="0.2">
      <c r="B66" s="12"/>
      <c r="C66" s="349" t="s">
        <v>356</v>
      </c>
      <c r="D66" s="350" t="s">
        <v>363</v>
      </c>
      <c r="E66" s="375" t="s">
        <v>364</v>
      </c>
      <c r="F66" s="347">
        <f>'18'!I29</f>
        <v>4550000</v>
      </c>
      <c r="G66" s="461">
        <f>'18'!J29</f>
        <v>4550000</v>
      </c>
      <c r="H66" s="485">
        <f>'18'!K29</f>
        <v>4828680</v>
      </c>
      <c r="I66" s="347">
        <f>'18'!L29</f>
        <v>271320</v>
      </c>
      <c r="J66" s="487">
        <f>'18'!M29</f>
        <v>5100000</v>
      </c>
      <c r="K66" s="348">
        <f t="shared" si="21"/>
        <v>112.08791208791209</v>
      </c>
      <c r="M66" s="44"/>
    </row>
    <row r="67" spans="2:13" s="1" customFormat="1" ht="15" customHeight="1" x14ac:dyDescent="0.2">
      <c r="B67" s="12"/>
      <c r="C67" s="349" t="s">
        <v>356</v>
      </c>
      <c r="D67" s="350" t="s">
        <v>365</v>
      </c>
      <c r="E67" s="384" t="s">
        <v>366</v>
      </c>
      <c r="F67" s="347">
        <f>'21'!I33</f>
        <v>200000</v>
      </c>
      <c r="G67" s="461">
        <f>'21'!J33</f>
        <v>200000</v>
      </c>
      <c r="H67" s="485">
        <f>'21'!K33</f>
        <v>200000</v>
      </c>
      <c r="I67" s="347">
        <f>'21'!L33</f>
        <v>0</v>
      </c>
      <c r="J67" s="487">
        <f>'21'!M33</f>
        <v>200000</v>
      </c>
      <c r="K67" s="348">
        <f t="shared" si="21"/>
        <v>100</v>
      </c>
      <c r="M67" s="44"/>
    </row>
    <row r="68" spans="2:13" s="1" customFormat="1" ht="16.5" customHeight="1" x14ac:dyDescent="0.2">
      <c r="B68" s="12"/>
      <c r="C68" s="349" t="s">
        <v>356</v>
      </c>
      <c r="D68" s="350" t="s">
        <v>367</v>
      </c>
      <c r="E68" s="386" t="s">
        <v>368</v>
      </c>
      <c r="F68" s="347">
        <f>'21'!I34</f>
        <v>34000</v>
      </c>
      <c r="G68" s="461">
        <f>'21'!J34</f>
        <v>34000</v>
      </c>
      <c r="H68" s="485">
        <f>'21'!K34</f>
        <v>50000</v>
      </c>
      <c r="I68" s="347">
        <f>'21'!L34</f>
        <v>0</v>
      </c>
      <c r="J68" s="487">
        <f>'21'!M34</f>
        <v>50000</v>
      </c>
      <c r="K68" s="348">
        <f t="shared" ref="K68" si="25">IF(G68=0,"",J68/G68*100)</f>
        <v>147.05882352941177</v>
      </c>
      <c r="M68" s="44"/>
    </row>
    <row r="69" spans="2:13" s="1" customFormat="1" ht="15" customHeight="1" x14ac:dyDescent="0.2">
      <c r="B69" s="12"/>
      <c r="C69" s="349" t="s">
        <v>356</v>
      </c>
      <c r="D69" s="350" t="s">
        <v>369</v>
      </c>
      <c r="E69" s="376" t="s">
        <v>358</v>
      </c>
      <c r="F69" s="347">
        <f>'21'!I35</f>
        <v>250000</v>
      </c>
      <c r="G69" s="461">
        <f>'21'!J35</f>
        <v>250000</v>
      </c>
      <c r="H69" s="485">
        <f>'21'!K35</f>
        <v>250000</v>
      </c>
      <c r="I69" s="347">
        <f>'21'!L35</f>
        <v>0</v>
      </c>
      <c r="J69" s="487">
        <f>'21'!M35</f>
        <v>250000</v>
      </c>
      <c r="K69" s="348">
        <f t="shared" ref="K69" si="26">IF(G69=0,"",J69/G69*100)</f>
        <v>100</v>
      </c>
      <c r="M69" s="44"/>
    </row>
    <row r="70" spans="2:13" s="1" customFormat="1" ht="15" customHeight="1" x14ac:dyDescent="0.2">
      <c r="B70" s="12"/>
      <c r="C70" s="349">
        <v>614200</v>
      </c>
      <c r="D70" s="350" t="s">
        <v>370</v>
      </c>
      <c r="E70" s="384" t="s">
        <v>902</v>
      </c>
      <c r="F70" s="347">
        <f>'32'!I27</f>
        <v>2100000</v>
      </c>
      <c r="G70" s="461">
        <f>'32'!J27</f>
        <v>2100000</v>
      </c>
      <c r="H70" s="485">
        <f>'32'!K27</f>
        <v>1900000</v>
      </c>
      <c r="I70" s="347">
        <f>'32'!L27</f>
        <v>0</v>
      </c>
      <c r="J70" s="487">
        <f>'32'!M27</f>
        <v>1900000</v>
      </c>
      <c r="K70" s="348">
        <f t="shared" si="21"/>
        <v>90.476190476190482</v>
      </c>
      <c r="M70" s="44"/>
    </row>
    <row r="71" spans="2:13" s="1" customFormat="1" ht="15" customHeight="1" x14ac:dyDescent="0.2">
      <c r="B71" s="12"/>
      <c r="C71" s="349" t="s">
        <v>356</v>
      </c>
      <c r="D71" s="350" t="s">
        <v>371</v>
      </c>
      <c r="E71" s="375" t="s">
        <v>372</v>
      </c>
      <c r="F71" s="347">
        <f>'34'!I28</f>
        <v>90000</v>
      </c>
      <c r="G71" s="461">
        <f>'34'!J28</f>
        <v>90000</v>
      </c>
      <c r="H71" s="485">
        <f>'34'!K28</f>
        <v>0</v>
      </c>
      <c r="I71" s="347">
        <f>'34'!L28</f>
        <v>100000</v>
      </c>
      <c r="J71" s="487">
        <f>'34'!M28</f>
        <v>100000</v>
      </c>
      <c r="K71" s="348">
        <f t="shared" si="21"/>
        <v>111.11111111111111</v>
      </c>
      <c r="M71" s="44"/>
    </row>
    <row r="72" spans="2:13" ht="15" customHeight="1" x14ac:dyDescent="0.2">
      <c r="B72" s="10"/>
      <c r="C72" s="552" t="s">
        <v>373</v>
      </c>
      <c r="D72" s="355"/>
      <c r="E72" s="423" t="s">
        <v>374</v>
      </c>
      <c r="F72" s="382">
        <f>SUM(F73:F83)</f>
        <v>1855000</v>
      </c>
      <c r="G72" s="465">
        <f t="shared" ref="G72:I72" si="27">SUM(G73:G83)</f>
        <v>1855000</v>
      </c>
      <c r="H72" s="494">
        <f t="shared" si="27"/>
        <v>1920000</v>
      </c>
      <c r="I72" s="382">
        <f t="shared" si="27"/>
        <v>0</v>
      </c>
      <c r="J72" s="484">
        <f>SUM(J73:J83)</f>
        <v>1920000</v>
      </c>
      <c r="K72" s="374">
        <f t="shared" si="21"/>
        <v>103.50404312668464</v>
      </c>
    </row>
    <row r="73" spans="2:13" s="1" customFormat="1" ht="15" customHeight="1" x14ac:dyDescent="0.2">
      <c r="B73" s="12"/>
      <c r="C73" s="349" t="s">
        <v>373</v>
      </c>
      <c r="D73" s="350" t="s">
        <v>375</v>
      </c>
      <c r="E73" s="384" t="s">
        <v>376</v>
      </c>
      <c r="F73" s="347">
        <f>'2'!I39</f>
        <v>150000</v>
      </c>
      <c r="G73" s="461">
        <f>'2'!J39</f>
        <v>150000</v>
      </c>
      <c r="H73" s="485">
        <f>'2'!K39</f>
        <v>150000</v>
      </c>
      <c r="I73" s="347">
        <f>'2'!L39</f>
        <v>0</v>
      </c>
      <c r="J73" s="487">
        <f>'2'!M39</f>
        <v>150000</v>
      </c>
      <c r="K73" s="348">
        <f t="shared" si="21"/>
        <v>100</v>
      </c>
      <c r="M73" s="44"/>
    </row>
    <row r="74" spans="2:13" s="1" customFormat="1" ht="15" customHeight="1" x14ac:dyDescent="0.2">
      <c r="B74" s="12"/>
      <c r="C74" s="349" t="s">
        <v>373</v>
      </c>
      <c r="D74" s="350" t="s">
        <v>377</v>
      </c>
      <c r="E74" s="384" t="s">
        <v>378</v>
      </c>
      <c r="F74" s="347">
        <f>'2'!I40</f>
        <v>70000</v>
      </c>
      <c r="G74" s="461">
        <f>'2'!J40</f>
        <v>70000</v>
      </c>
      <c r="H74" s="485">
        <f>'2'!K40</f>
        <v>120000</v>
      </c>
      <c r="I74" s="347">
        <f>'2'!L40</f>
        <v>0</v>
      </c>
      <c r="J74" s="487">
        <f>'2'!M40</f>
        <v>120000</v>
      </c>
      <c r="K74" s="348">
        <f t="shared" ref="K74" si="28">IF(G74=0,"",J74/G74*100)</f>
        <v>171.42857142857142</v>
      </c>
      <c r="M74" s="44"/>
    </row>
    <row r="75" spans="2:13" s="1" customFormat="1" ht="15" customHeight="1" x14ac:dyDescent="0.2">
      <c r="B75" s="12"/>
      <c r="C75" s="349" t="s">
        <v>373</v>
      </c>
      <c r="D75" s="350" t="s">
        <v>379</v>
      </c>
      <c r="E75" s="375" t="s">
        <v>380</v>
      </c>
      <c r="F75" s="347">
        <f>'2'!I36</f>
        <v>80000</v>
      </c>
      <c r="G75" s="461">
        <f>'2'!J36</f>
        <v>80000</v>
      </c>
      <c r="H75" s="485">
        <f>'2'!K36</f>
        <v>80000</v>
      </c>
      <c r="I75" s="347">
        <f>'2'!L36</f>
        <v>0</v>
      </c>
      <c r="J75" s="487">
        <f>'2'!M36</f>
        <v>80000</v>
      </c>
      <c r="K75" s="348">
        <f t="shared" si="21"/>
        <v>100</v>
      </c>
      <c r="M75" s="44"/>
    </row>
    <row r="76" spans="2:13" ht="15" customHeight="1" x14ac:dyDescent="0.2">
      <c r="B76" s="10"/>
      <c r="C76" s="349" t="s">
        <v>373</v>
      </c>
      <c r="D76" s="350" t="s">
        <v>381</v>
      </c>
      <c r="E76" s="375" t="s">
        <v>382</v>
      </c>
      <c r="F76" s="347">
        <f>'2'!I37</f>
        <v>35000</v>
      </c>
      <c r="G76" s="461">
        <f>'2'!J37</f>
        <v>35000</v>
      </c>
      <c r="H76" s="485">
        <f>'2'!K37</f>
        <v>40000</v>
      </c>
      <c r="I76" s="347">
        <f>'2'!L37</f>
        <v>0</v>
      </c>
      <c r="J76" s="487">
        <f>'2'!M37</f>
        <v>40000</v>
      </c>
      <c r="K76" s="348">
        <f t="shared" si="21"/>
        <v>114.28571428571428</v>
      </c>
    </row>
    <row r="77" spans="2:13" s="1" customFormat="1" ht="15" customHeight="1" x14ac:dyDescent="0.2">
      <c r="B77" s="20"/>
      <c r="C77" s="349" t="s">
        <v>373</v>
      </c>
      <c r="D77" s="350" t="s">
        <v>383</v>
      </c>
      <c r="E77" s="375" t="s">
        <v>384</v>
      </c>
      <c r="F77" s="347">
        <f>'2'!I38</f>
        <v>40000</v>
      </c>
      <c r="G77" s="461">
        <f>'2'!J38</f>
        <v>40000</v>
      </c>
      <c r="H77" s="485">
        <f>'2'!K38</f>
        <v>40000</v>
      </c>
      <c r="I77" s="347">
        <f>'2'!L38</f>
        <v>0</v>
      </c>
      <c r="J77" s="487">
        <f>'2'!M38</f>
        <v>40000</v>
      </c>
      <c r="K77" s="348">
        <f t="shared" ref="K77:K109" si="29">IF(G77=0,"",J77/G77*100)</f>
        <v>100</v>
      </c>
      <c r="M77" s="44"/>
    </row>
    <row r="78" spans="2:13" s="309" customFormat="1" ht="15" customHeight="1" x14ac:dyDescent="0.2">
      <c r="B78" s="310"/>
      <c r="C78" s="356" t="s">
        <v>373</v>
      </c>
      <c r="D78" s="357" t="s">
        <v>385</v>
      </c>
      <c r="E78" s="375" t="s">
        <v>386</v>
      </c>
      <c r="F78" s="347">
        <f>'18'!I30</f>
        <v>130000</v>
      </c>
      <c r="G78" s="461">
        <f>'18'!J30</f>
        <v>130000</v>
      </c>
      <c r="H78" s="485">
        <f>'18'!K30</f>
        <v>140000</v>
      </c>
      <c r="I78" s="347">
        <f>'18'!L30</f>
        <v>0</v>
      </c>
      <c r="J78" s="486">
        <f>'18'!M30</f>
        <v>140000</v>
      </c>
      <c r="K78" s="348">
        <f t="shared" si="29"/>
        <v>107.69230769230769</v>
      </c>
      <c r="M78" s="44"/>
    </row>
    <row r="79" spans="2:13" ht="15" customHeight="1" thickBot="1" x14ac:dyDescent="0.25">
      <c r="B79" s="15"/>
      <c r="C79" s="349" t="s">
        <v>373</v>
      </c>
      <c r="D79" s="350" t="s">
        <v>387</v>
      </c>
      <c r="E79" s="384" t="s">
        <v>388</v>
      </c>
      <c r="F79" s="347">
        <f>'21'!I36</f>
        <v>450000</v>
      </c>
      <c r="G79" s="461">
        <f>'21'!J36</f>
        <v>450000</v>
      </c>
      <c r="H79" s="485">
        <f>'21'!K36</f>
        <v>450000</v>
      </c>
      <c r="I79" s="347">
        <f>'21'!L36</f>
        <v>0</v>
      </c>
      <c r="J79" s="487">
        <f>'21'!M36</f>
        <v>450000</v>
      </c>
      <c r="K79" s="348">
        <f t="shared" si="29"/>
        <v>100</v>
      </c>
    </row>
    <row r="80" spans="2:13" ht="15" customHeight="1" x14ac:dyDescent="0.2">
      <c r="C80" s="349" t="s">
        <v>373</v>
      </c>
      <c r="D80" s="350" t="s">
        <v>389</v>
      </c>
      <c r="E80" s="384" t="s">
        <v>390</v>
      </c>
      <c r="F80" s="347">
        <f>'21'!I37</f>
        <v>300000</v>
      </c>
      <c r="G80" s="461">
        <f>'21'!J37</f>
        <v>300000</v>
      </c>
      <c r="H80" s="485">
        <f>'21'!K37</f>
        <v>50000</v>
      </c>
      <c r="I80" s="347">
        <f>'21'!L37</f>
        <v>0</v>
      </c>
      <c r="J80" s="487">
        <f>'21'!M37</f>
        <v>50000</v>
      </c>
      <c r="K80" s="348">
        <f t="shared" si="29"/>
        <v>16.666666666666664</v>
      </c>
    </row>
    <row r="81" spans="3:13" ht="15" customHeight="1" x14ac:dyDescent="0.2">
      <c r="C81" s="349" t="s">
        <v>373</v>
      </c>
      <c r="D81" s="350" t="s">
        <v>391</v>
      </c>
      <c r="E81" s="384" t="s">
        <v>392</v>
      </c>
      <c r="F81" s="347">
        <f>'21'!I38</f>
        <v>450000</v>
      </c>
      <c r="G81" s="461">
        <f>'21'!J38</f>
        <v>450000</v>
      </c>
      <c r="H81" s="485">
        <f>'21'!K38</f>
        <v>480000</v>
      </c>
      <c r="I81" s="347">
        <f>'21'!L38</f>
        <v>0</v>
      </c>
      <c r="J81" s="487">
        <f>'21'!M38</f>
        <v>480000</v>
      </c>
      <c r="K81" s="348">
        <f t="shared" si="29"/>
        <v>106.66666666666667</v>
      </c>
    </row>
    <row r="82" spans="3:13" ht="15" customHeight="1" x14ac:dyDescent="0.2">
      <c r="C82" s="349" t="s">
        <v>373</v>
      </c>
      <c r="D82" s="350" t="s">
        <v>393</v>
      </c>
      <c r="E82" s="384" t="s">
        <v>394</v>
      </c>
      <c r="F82" s="347">
        <f>'21'!I39</f>
        <v>150000</v>
      </c>
      <c r="G82" s="461">
        <f>'21'!J39</f>
        <v>150000</v>
      </c>
      <c r="H82" s="485">
        <f>'21'!K39</f>
        <v>170000</v>
      </c>
      <c r="I82" s="347">
        <f>'21'!L39</f>
        <v>0</v>
      </c>
      <c r="J82" s="487">
        <f>'21'!M39</f>
        <v>170000</v>
      </c>
      <c r="K82" s="348">
        <f t="shared" si="29"/>
        <v>113.33333333333333</v>
      </c>
    </row>
    <row r="83" spans="3:13" ht="25.5" customHeight="1" x14ac:dyDescent="0.2">
      <c r="C83" s="349" t="s">
        <v>373</v>
      </c>
      <c r="D83" s="350"/>
      <c r="E83" s="386" t="s">
        <v>899</v>
      </c>
      <c r="F83" s="347">
        <f>'32'!I28</f>
        <v>0</v>
      </c>
      <c r="G83" s="461">
        <f>'32'!J28</f>
        <v>0</v>
      </c>
      <c r="H83" s="485">
        <f>'32'!K28</f>
        <v>200000</v>
      </c>
      <c r="I83" s="347">
        <f>'32'!L28</f>
        <v>0</v>
      </c>
      <c r="J83" s="487">
        <f>'32'!M28</f>
        <v>200000</v>
      </c>
      <c r="K83" s="348" t="str">
        <f t="shared" ref="K83" si="30">IF(G83=0,"",J83/G83*100)</f>
        <v/>
      </c>
    </row>
    <row r="84" spans="3:13" ht="15" customHeight="1" x14ac:dyDescent="0.2">
      <c r="C84" s="552" t="s">
        <v>395</v>
      </c>
      <c r="D84" s="355"/>
      <c r="E84" s="423" t="s">
        <v>396</v>
      </c>
      <c r="F84" s="382">
        <f>SUM(F85:F88)</f>
        <v>3390000</v>
      </c>
      <c r="G84" s="465">
        <f t="shared" ref="G84:J84" si="31">SUM(G85:G88)</f>
        <v>3390000</v>
      </c>
      <c r="H84" s="494">
        <f t="shared" si="31"/>
        <v>3350000</v>
      </c>
      <c r="I84" s="382">
        <f t="shared" si="31"/>
        <v>400000</v>
      </c>
      <c r="J84" s="484">
        <f t="shared" si="31"/>
        <v>3750000</v>
      </c>
      <c r="K84" s="374">
        <f t="shared" si="29"/>
        <v>110.61946902654867</v>
      </c>
    </row>
    <row r="85" spans="3:13" ht="15" customHeight="1" x14ac:dyDescent="0.2">
      <c r="C85" s="349" t="s">
        <v>395</v>
      </c>
      <c r="D85" s="350" t="s">
        <v>397</v>
      </c>
      <c r="E85" s="384" t="s">
        <v>398</v>
      </c>
      <c r="F85" s="347">
        <f>'16'!I29</f>
        <v>1310000</v>
      </c>
      <c r="G85" s="461">
        <f>'16'!J29</f>
        <v>1310000</v>
      </c>
      <c r="H85" s="485">
        <f>'16'!K29</f>
        <v>1500000</v>
      </c>
      <c r="I85" s="347">
        <f>'16'!L29</f>
        <v>0</v>
      </c>
      <c r="J85" s="487">
        <f>'16'!M29</f>
        <v>1500000</v>
      </c>
      <c r="K85" s="348">
        <f t="shared" si="29"/>
        <v>114.50381679389312</v>
      </c>
    </row>
    <row r="86" spans="3:13" ht="15" customHeight="1" x14ac:dyDescent="0.2">
      <c r="C86" s="349" t="s">
        <v>395</v>
      </c>
      <c r="D86" s="350" t="s">
        <v>399</v>
      </c>
      <c r="E86" s="384" t="s">
        <v>400</v>
      </c>
      <c r="F86" s="347">
        <f>'20'!I28</f>
        <v>1850000</v>
      </c>
      <c r="G86" s="461">
        <f>'20'!J28</f>
        <v>1850000</v>
      </c>
      <c r="H86" s="485">
        <f>'20'!K28</f>
        <v>1800000</v>
      </c>
      <c r="I86" s="347">
        <f>'20'!L28</f>
        <v>0</v>
      </c>
      <c r="J86" s="487">
        <f>'20'!M28</f>
        <v>1800000</v>
      </c>
      <c r="K86" s="348">
        <f t="shared" si="29"/>
        <v>97.297297297297305</v>
      </c>
    </row>
    <row r="87" spans="3:13" ht="15" customHeight="1" x14ac:dyDescent="0.2">
      <c r="C87" s="349" t="s">
        <v>395</v>
      </c>
      <c r="D87" s="350" t="s">
        <v>401</v>
      </c>
      <c r="E87" s="384" t="s">
        <v>402</v>
      </c>
      <c r="F87" s="347">
        <f>'20'!I29</f>
        <v>100000</v>
      </c>
      <c r="G87" s="461">
        <f>'20'!J29</f>
        <v>100000</v>
      </c>
      <c r="H87" s="485">
        <f>'20'!K29</f>
        <v>0</v>
      </c>
      <c r="I87" s="347">
        <f>'20'!L29</f>
        <v>200000</v>
      </c>
      <c r="J87" s="487">
        <f>'20'!M29</f>
        <v>200000</v>
      </c>
      <c r="K87" s="348">
        <f t="shared" si="29"/>
        <v>200</v>
      </c>
    </row>
    <row r="88" spans="3:13" ht="15" customHeight="1" x14ac:dyDescent="0.2">
      <c r="C88" s="349" t="s">
        <v>395</v>
      </c>
      <c r="D88" s="350" t="s">
        <v>403</v>
      </c>
      <c r="E88" s="384" t="s">
        <v>404</v>
      </c>
      <c r="F88" s="347">
        <f>'20'!I30</f>
        <v>130000</v>
      </c>
      <c r="G88" s="461">
        <f>'20'!J30</f>
        <v>130000</v>
      </c>
      <c r="H88" s="485">
        <f>'20'!K30</f>
        <v>50000</v>
      </c>
      <c r="I88" s="347">
        <f>'20'!L30</f>
        <v>200000</v>
      </c>
      <c r="J88" s="487">
        <f>'20'!M30</f>
        <v>250000</v>
      </c>
      <c r="K88" s="348">
        <f t="shared" si="29"/>
        <v>192.30769230769232</v>
      </c>
    </row>
    <row r="89" spans="3:13" ht="15" customHeight="1" x14ac:dyDescent="0.2">
      <c r="C89" s="552">
        <v>614800</v>
      </c>
      <c r="D89" s="355"/>
      <c r="E89" s="423" t="s">
        <v>405</v>
      </c>
      <c r="F89" s="382">
        <f>SUM(F90:F91)</f>
        <v>201500</v>
      </c>
      <c r="G89" s="465">
        <f t="shared" ref="G89:J89" si="32">SUM(G90:G91)</f>
        <v>201500</v>
      </c>
      <c r="H89" s="494">
        <f t="shared" si="32"/>
        <v>105000</v>
      </c>
      <c r="I89" s="382">
        <f t="shared" si="32"/>
        <v>0</v>
      </c>
      <c r="J89" s="484">
        <f t="shared" si="32"/>
        <v>105000</v>
      </c>
      <c r="K89" s="374">
        <f t="shared" si="29"/>
        <v>52.109181141439208</v>
      </c>
    </row>
    <row r="90" spans="3:13" ht="15" customHeight="1" x14ac:dyDescent="0.2">
      <c r="C90" s="349">
        <v>614800</v>
      </c>
      <c r="D90" s="350" t="s">
        <v>406</v>
      </c>
      <c r="E90" s="384" t="s">
        <v>407</v>
      </c>
      <c r="F90" s="347">
        <f>'17'!I32</f>
        <v>200000</v>
      </c>
      <c r="G90" s="461">
        <f>'17'!J32</f>
        <v>200000</v>
      </c>
      <c r="H90" s="485">
        <f>'17'!K32</f>
        <v>100000</v>
      </c>
      <c r="I90" s="347">
        <f>'17'!L32</f>
        <v>0</v>
      </c>
      <c r="J90" s="487">
        <f>'17'!M32</f>
        <v>100000</v>
      </c>
      <c r="K90" s="348">
        <f t="shared" si="29"/>
        <v>50</v>
      </c>
    </row>
    <row r="91" spans="3:13" ht="27" customHeight="1" x14ac:dyDescent="0.2">
      <c r="C91" s="349">
        <v>614800</v>
      </c>
      <c r="D91" s="350" t="s">
        <v>408</v>
      </c>
      <c r="E91" s="386" t="s">
        <v>409</v>
      </c>
      <c r="F91" s="347">
        <f>'17'!I33</f>
        <v>1500</v>
      </c>
      <c r="G91" s="461">
        <f>'17'!J33</f>
        <v>1500</v>
      </c>
      <c r="H91" s="485">
        <f>'17'!K33</f>
        <v>5000</v>
      </c>
      <c r="I91" s="347">
        <f>'17'!L33</f>
        <v>0</v>
      </c>
      <c r="J91" s="487">
        <f>'17'!M33</f>
        <v>5000</v>
      </c>
      <c r="K91" s="348">
        <f t="shared" si="29"/>
        <v>333.33333333333337</v>
      </c>
    </row>
    <row r="92" spans="3:13" ht="13.5" customHeight="1" x14ac:dyDescent="0.2">
      <c r="C92" s="358"/>
      <c r="D92" s="359"/>
      <c r="E92" s="387"/>
      <c r="F92" s="388"/>
      <c r="G92" s="466"/>
      <c r="H92" s="495"/>
      <c r="I92" s="388"/>
      <c r="J92" s="482"/>
      <c r="K92" s="374" t="str">
        <f t="shared" si="29"/>
        <v/>
      </c>
    </row>
    <row r="93" spans="3:13" ht="15" customHeight="1" x14ac:dyDescent="0.2">
      <c r="C93" s="360">
        <v>615000</v>
      </c>
      <c r="D93" s="361"/>
      <c r="E93" s="389" t="s">
        <v>410</v>
      </c>
      <c r="F93" s="371">
        <f>SUM(F94:F99)</f>
        <v>1750000</v>
      </c>
      <c r="G93" s="459">
        <f>SUM(G94:G99)</f>
        <v>1750000</v>
      </c>
      <c r="H93" s="481">
        <f>SUM(H94:H99)</f>
        <v>1344380</v>
      </c>
      <c r="I93" s="371">
        <f>SUM(I94:I99)</f>
        <v>365620</v>
      </c>
      <c r="J93" s="482">
        <f>SUM(J94:J99)</f>
        <v>1710000</v>
      </c>
      <c r="K93" s="372">
        <f t="shared" si="29"/>
        <v>97.714285714285708</v>
      </c>
      <c r="M93" s="53"/>
    </row>
    <row r="94" spans="3:13" ht="15" customHeight="1" x14ac:dyDescent="0.2">
      <c r="C94" s="362" t="s">
        <v>411</v>
      </c>
      <c r="D94" s="355"/>
      <c r="E94" s="390" t="s">
        <v>412</v>
      </c>
      <c r="F94" s="373">
        <f>'2'!I43</f>
        <v>0</v>
      </c>
      <c r="G94" s="460">
        <f>'2'!J43</f>
        <v>0</v>
      </c>
      <c r="H94" s="483">
        <f>'2'!K43</f>
        <v>10000</v>
      </c>
      <c r="I94" s="373">
        <f>'2'!L43</f>
        <v>0</v>
      </c>
      <c r="J94" s="484">
        <f>'2'!M43</f>
        <v>10000</v>
      </c>
      <c r="K94" s="374" t="str">
        <f t="shared" si="29"/>
        <v/>
      </c>
    </row>
    <row r="95" spans="3:13" ht="29.25" customHeight="1" x14ac:dyDescent="0.2">
      <c r="C95" s="362" t="s">
        <v>411</v>
      </c>
      <c r="D95" s="355" t="s">
        <v>413</v>
      </c>
      <c r="E95" s="545" t="str">
        <f>'16'!H32</f>
        <v xml:space="preserve"> Kapitalni grant jedinicama lokalne samouprave za razvoj
 poduzetničke infrastrukture</v>
      </c>
      <c r="F95" s="373">
        <f>'16'!I32</f>
        <v>200000</v>
      </c>
      <c r="G95" s="460">
        <f>'16'!J32</f>
        <v>200000</v>
      </c>
      <c r="H95" s="483">
        <f>'16'!K32</f>
        <v>0</v>
      </c>
      <c r="I95" s="373">
        <f>'16'!L32</f>
        <v>0</v>
      </c>
      <c r="J95" s="484">
        <f>'16'!M32</f>
        <v>0</v>
      </c>
      <c r="K95" s="374">
        <f t="shared" si="29"/>
        <v>0</v>
      </c>
    </row>
    <row r="96" spans="3:13" ht="15" customHeight="1" x14ac:dyDescent="0.2">
      <c r="C96" s="362" t="s">
        <v>411</v>
      </c>
      <c r="D96" s="355" t="s">
        <v>414</v>
      </c>
      <c r="E96" s="390" t="s">
        <v>415</v>
      </c>
      <c r="F96" s="373">
        <f>'20'!I33</f>
        <v>300000</v>
      </c>
      <c r="G96" s="460">
        <f>'20'!J33</f>
        <v>300000</v>
      </c>
      <c r="H96" s="483">
        <f>'20'!K33</f>
        <v>34380</v>
      </c>
      <c r="I96" s="373">
        <f>'20'!L33</f>
        <v>265620</v>
      </c>
      <c r="J96" s="484">
        <f>'20'!M33</f>
        <v>300000</v>
      </c>
      <c r="K96" s="374">
        <f t="shared" si="29"/>
        <v>100</v>
      </c>
    </row>
    <row r="97" spans="3:13" ht="15" customHeight="1" x14ac:dyDescent="0.2">
      <c r="C97" s="362" t="s">
        <v>411</v>
      </c>
      <c r="D97" s="355" t="s">
        <v>416</v>
      </c>
      <c r="E97" s="390" t="s">
        <v>417</v>
      </c>
      <c r="F97" s="373">
        <f>'20'!I34</f>
        <v>150000</v>
      </c>
      <c r="G97" s="460">
        <f>'20'!J34</f>
        <v>150000</v>
      </c>
      <c r="H97" s="483">
        <f>'20'!K34</f>
        <v>50000</v>
      </c>
      <c r="I97" s="373">
        <f>'20'!L34</f>
        <v>100000</v>
      </c>
      <c r="J97" s="484">
        <f>'20'!M34</f>
        <v>150000</v>
      </c>
      <c r="K97" s="374">
        <f t="shared" si="29"/>
        <v>100</v>
      </c>
    </row>
    <row r="98" spans="3:13" ht="25.5" customHeight="1" x14ac:dyDescent="0.2">
      <c r="C98" s="362" t="s">
        <v>883</v>
      </c>
      <c r="D98" s="355"/>
      <c r="E98" s="545" t="s">
        <v>884</v>
      </c>
      <c r="F98" s="373">
        <f>'21'!I42</f>
        <v>0</v>
      </c>
      <c r="G98" s="460">
        <f>'21'!J42</f>
        <v>0</v>
      </c>
      <c r="H98" s="483">
        <f>'21'!K42</f>
        <v>250000</v>
      </c>
      <c r="I98" s="373">
        <f>'21'!L42</f>
        <v>0</v>
      </c>
      <c r="J98" s="484">
        <f>'21'!M42</f>
        <v>250000</v>
      </c>
      <c r="K98" s="374"/>
    </row>
    <row r="99" spans="3:13" ht="15" customHeight="1" x14ac:dyDescent="0.2">
      <c r="C99" s="362" t="s">
        <v>418</v>
      </c>
      <c r="D99" s="355" t="s">
        <v>419</v>
      </c>
      <c r="E99" s="390" t="s">
        <v>420</v>
      </c>
      <c r="F99" s="373">
        <f>'16'!I33</f>
        <v>1100000</v>
      </c>
      <c r="G99" s="460">
        <f>'16'!J33</f>
        <v>1100000</v>
      </c>
      <c r="H99" s="483">
        <f>'16'!K33</f>
        <v>1000000</v>
      </c>
      <c r="I99" s="373">
        <f>'16'!L33</f>
        <v>0</v>
      </c>
      <c r="J99" s="484">
        <f>'16'!M33</f>
        <v>1000000</v>
      </c>
      <c r="K99" s="374">
        <f t="shared" si="29"/>
        <v>90.909090909090907</v>
      </c>
      <c r="M99" s="53"/>
    </row>
    <row r="100" spans="3:13" ht="12.75" customHeight="1" x14ac:dyDescent="0.2">
      <c r="C100" s="363"/>
      <c r="D100" s="364"/>
      <c r="E100" s="391"/>
      <c r="F100" s="373"/>
      <c r="G100" s="460"/>
      <c r="H100" s="483"/>
      <c r="I100" s="373"/>
      <c r="J100" s="484"/>
      <c r="K100" s="374" t="str">
        <f t="shared" si="29"/>
        <v/>
      </c>
    </row>
    <row r="101" spans="3:13" ht="15" customHeight="1" x14ac:dyDescent="0.2">
      <c r="C101" s="365" t="s">
        <v>421</v>
      </c>
      <c r="D101" s="366"/>
      <c r="E101" s="389" t="s">
        <v>422</v>
      </c>
      <c r="F101" s="371">
        <f t="shared" ref="F101:J101" si="33">SUM(F102:F103)</f>
        <v>15510</v>
      </c>
      <c r="G101" s="459">
        <f t="shared" si="33"/>
        <v>15510</v>
      </c>
      <c r="H101" s="481">
        <f t="shared" si="33"/>
        <v>14330</v>
      </c>
      <c r="I101" s="371">
        <f t="shared" si="33"/>
        <v>0</v>
      </c>
      <c r="J101" s="482">
        <f t="shared" si="33"/>
        <v>14330</v>
      </c>
      <c r="K101" s="372">
        <f t="shared" si="29"/>
        <v>92.392005157962615</v>
      </c>
      <c r="M101" s="53"/>
    </row>
    <row r="102" spans="3:13" ht="15" customHeight="1" x14ac:dyDescent="0.2">
      <c r="C102" s="351">
        <v>616200</v>
      </c>
      <c r="D102" s="352" t="s">
        <v>423</v>
      </c>
      <c r="E102" s="390" t="s">
        <v>424</v>
      </c>
      <c r="F102" s="373">
        <f>'17'!I36</f>
        <v>12910</v>
      </c>
      <c r="G102" s="460">
        <f>'17'!J36</f>
        <v>12910</v>
      </c>
      <c r="H102" s="483">
        <f>'17'!K36</f>
        <v>14330</v>
      </c>
      <c r="I102" s="373">
        <f>'17'!L36</f>
        <v>0</v>
      </c>
      <c r="J102" s="484">
        <f>'17'!M36</f>
        <v>14330</v>
      </c>
      <c r="K102" s="374">
        <f t="shared" si="29"/>
        <v>110.99922540666149</v>
      </c>
    </row>
    <row r="103" spans="3:13" ht="15" customHeight="1" x14ac:dyDescent="0.2">
      <c r="C103" s="351">
        <v>616200</v>
      </c>
      <c r="D103" s="352" t="s">
        <v>425</v>
      </c>
      <c r="E103" s="390" t="s">
        <v>426</v>
      </c>
      <c r="F103" s="373">
        <f>'17'!I37</f>
        <v>2600</v>
      </c>
      <c r="G103" s="460">
        <f>'17'!J37</f>
        <v>2600</v>
      </c>
      <c r="H103" s="483">
        <f>'17'!K37</f>
        <v>0</v>
      </c>
      <c r="I103" s="373">
        <f>'17'!L37</f>
        <v>0</v>
      </c>
      <c r="J103" s="484">
        <f>'17'!M37</f>
        <v>0</v>
      </c>
      <c r="K103" s="374">
        <f t="shared" si="29"/>
        <v>0</v>
      </c>
    </row>
    <row r="104" spans="3:13" ht="12" customHeight="1" x14ac:dyDescent="0.2">
      <c r="C104" s="351"/>
      <c r="D104" s="352"/>
      <c r="E104" s="390"/>
      <c r="F104" s="373"/>
      <c r="G104" s="460"/>
      <c r="H104" s="483"/>
      <c r="I104" s="373"/>
      <c r="J104" s="484"/>
      <c r="K104" s="374" t="str">
        <f t="shared" si="29"/>
        <v/>
      </c>
    </row>
    <row r="105" spans="3:13" ht="15" customHeight="1" x14ac:dyDescent="0.2">
      <c r="C105" s="367">
        <v>821000</v>
      </c>
      <c r="D105" s="368"/>
      <c r="E105" s="370" t="s">
        <v>427</v>
      </c>
      <c r="F105" s="371">
        <f>SUM(F106:F112)</f>
        <v>7377960</v>
      </c>
      <c r="G105" s="459">
        <f t="shared" ref="G105:J105" si="34">SUM(G106:G112)</f>
        <v>7377960</v>
      </c>
      <c r="H105" s="481">
        <f t="shared" si="34"/>
        <v>4597930</v>
      </c>
      <c r="I105" s="371">
        <f t="shared" si="34"/>
        <v>1668270</v>
      </c>
      <c r="J105" s="482">
        <f t="shared" si="34"/>
        <v>6266200</v>
      </c>
      <c r="K105" s="372">
        <f t="shared" si="29"/>
        <v>84.931336033266646</v>
      </c>
    </row>
    <row r="106" spans="3:13" ht="15" customHeight="1" x14ac:dyDescent="0.2">
      <c r="C106" s="351">
        <v>821100</v>
      </c>
      <c r="D106" s="352"/>
      <c r="E106" s="392" t="s">
        <v>428</v>
      </c>
      <c r="F106" s="373">
        <f>'2'!I46</f>
        <v>0</v>
      </c>
      <c r="G106" s="460">
        <f>'2'!J46</f>
        <v>0</v>
      </c>
      <c r="H106" s="483">
        <f>'2'!K46</f>
        <v>0</v>
      </c>
      <c r="I106" s="373">
        <f>'2'!L46</f>
        <v>0</v>
      </c>
      <c r="J106" s="484">
        <f>'2'!M46</f>
        <v>0</v>
      </c>
      <c r="K106" s="374" t="str">
        <f t="shared" ref="K106" si="35">IF(G106=0,"",J106/G106*100)</f>
        <v/>
      </c>
    </row>
    <row r="107" spans="3:13" ht="15" customHeight="1" x14ac:dyDescent="0.2">
      <c r="C107" s="351">
        <v>821200</v>
      </c>
      <c r="D107" s="352"/>
      <c r="E107" s="62" t="s">
        <v>429</v>
      </c>
      <c r="F107" s="373">
        <f>'1'!I27+'2'!I47+'6'!I30+'3'!I27+'4'!I27+'5'!I27+'7N'!I27+'8'!I27+'9'!I29+'10'!I29+'11'!I28+'12'!I27+'13'!I27+'14'!I27+'16'!I36+'17'!I40+'18'!I33+'19'!I31+'20'!I37+'21'!I45+'22'!I27+'23'!I27+'24'!I27+'25'!I27+'26'!I27+'27'!I27+'28'!I27+'29'!I27+'30'!I27+'31'!I27+'32'!I31+'33'!I27+'34'!I31+'35'!I27+'36'!I27+'37'!I27+'38'!I27+'15'!I27</f>
        <v>3013190</v>
      </c>
      <c r="G107" s="460">
        <f>'1'!J27+'2'!J47+'6'!J30+'3'!J27+'4'!J27+'5'!J27+'7N'!J27+'8'!J27+'9'!J29+'10'!J29+'11'!J28+'12'!J27+'13'!J27+'14'!J27+'16'!J36+'17'!J40+'18'!J33+'19'!J31+'20'!J37+'21'!J45+'22'!J27+'23'!J27+'24'!J27+'25'!J27+'26'!J27+'27'!J27+'28'!J27+'29'!J27+'30'!J27+'31'!J27+'32'!J31+'33'!J27+'34'!J31+'35'!J27+'36'!J27+'37'!J27+'38'!J27+'15'!J27</f>
        <v>3013190</v>
      </c>
      <c r="H107" s="483">
        <f>'1'!K27+'2'!K47+'6'!K30+'3'!K27+'4'!K27+'5'!K27+'7N'!K27+'8'!K27+'9'!K29+'10'!K29+'11'!K28+'12'!K27+'13'!K27+'14'!K27+'16'!K36+'17'!K40+'18'!K33+'19'!K31+'20'!K37+'21'!K45+'22'!K27+'23'!K27+'24'!K27+'25'!K27+'26'!K27+'27'!K27+'28'!K27+'29'!K27+'30'!K27+'31'!K27+'32'!K31+'33'!K27+'34'!K31+'35'!K27+'36'!K27+'37'!K27+'38'!K27+'15'!K27</f>
        <v>2441000</v>
      </c>
      <c r="I107" s="373">
        <f>'1'!L27+'2'!L47+'6'!L30+'3'!L27+'4'!L27+'5'!L27+'7N'!L27+'8'!L27+'9'!L29+'10'!L29+'11'!L28+'12'!L27+'13'!L27+'14'!L27+'16'!L36+'17'!L40+'18'!L33+'19'!L31+'20'!L37+'21'!L45+'22'!L27+'23'!L27+'24'!L27+'25'!L27+'26'!L27+'27'!L27+'28'!L27+'29'!L27+'30'!L27+'31'!L27+'32'!L31+'33'!L27+'34'!L31+'35'!L27+'36'!L27+'37'!L27+'38'!L27+'15'!L27</f>
        <v>234700</v>
      </c>
      <c r="J107" s="484">
        <f>'1'!M27+'2'!M47+'6'!M30+'3'!M27+'4'!M27+'5'!M27+'7N'!M27+'8'!M27+'9'!M29+'10'!M29+'11'!M28+'12'!M27+'13'!M27+'14'!M27+'16'!M36+'17'!M40+'18'!M33+'19'!M31+'20'!M37+'21'!M45+'22'!M27+'23'!M27+'24'!M27+'25'!M27+'26'!M27+'27'!M27+'28'!M27+'29'!M27+'30'!M27+'31'!M27+'32'!M31+'33'!M27+'34'!M31+'35'!M27+'36'!M27+'37'!M27+'38'!M27+'15'!M27</f>
        <v>2675700</v>
      </c>
      <c r="K107" s="374">
        <f t="shared" si="29"/>
        <v>88.799577856026332</v>
      </c>
    </row>
    <row r="108" spans="3:13" ht="15" customHeight="1" x14ac:dyDescent="0.2">
      <c r="C108" s="351">
        <v>821300</v>
      </c>
      <c r="D108" s="352"/>
      <c r="E108" s="62" t="s">
        <v>430</v>
      </c>
      <c r="F108" s="373">
        <f>'1'!I28+'2'!I48+'6'!I31+'3'!I28+'4'!I28+'5'!I28+'7N'!I28+'8'!I28+'9'!I30+'10'!I30+'11'!I29+'12'!I28+'13'!I28+'14'!I28+'16'!I37+'17'!I41+'18'!I34+'19'!I32+'20'!I38+'21'!I46+'22'!I28+'23'!I28+'24'!I28+'25'!I28+'26'!I28+'27'!I28+'28'!I28+'29'!I28+'30'!I28+'31'!I28+'32'!I32+'33'!I28+'34'!I32+'35'!I28+'36'!I28+'37'!I28+'38'!I28+'15'!I28</f>
        <v>640010</v>
      </c>
      <c r="G108" s="460">
        <f>'1'!J28+'2'!J48+'6'!J31+'3'!J28+'4'!J28+'5'!J28+'7N'!J28+'8'!J28+'9'!J30+'10'!J30+'11'!J29+'12'!J28+'13'!J28+'14'!J28+'16'!J37+'17'!J41+'18'!J34+'19'!J32+'20'!J38+'21'!J46+'22'!J28+'23'!J28+'24'!J28+'25'!J28+'26'!J28+'27'!J28+'28'!J28+'29'!J28+'30'!J28+'31'!J28+'32'!J32+'33'!J28+'34'!J32+'35'!J28+'36'!J28+'37'!J28+'38'!J28+'15'!J28</f>
        <v>640010</v>
      </c>
      <c r="H108" s="483">
        <f>'1'!K28+'2'!K48+'6'!K31+'3'!K28+'4'!K28+'5'!K28+'7N'!K28+'8'!K28+'9'!K30+'10'!K30+'11'!K29+'12'!K28+'13'!K28+'14'!K28+'16'!K37+'17'!K41+'18'!K34+'19'!K32+'20'!K38+'21'!K46+'22'!K28+'23'!K28+'24'!K28+'25'!K28+'26'!K28+'27'!K28+'28'!K28+'29'!K28+'30'!K28+'31'!K28+'32'!K32+'33'!K28+'34'!K32+'35'!K28+'36'!K28+'37'!K28+'38'!K28+'15'!K28</f>
        <v>1036500</v>
      </c>
      <c r="I108" s="373">
        <f>'1'!L28+'2'!L48+'6'!L31+'3'!L28+'4'!L28+'5'!L28+'7N'!L28+'8'!L28+'9'!L30+'10'!L30+'11'!L29+'12'!L28+'13'!L28+'14'!L28+'16'!L37+'17'!L41+'18'!L34+'19'!L32+'20'!L38+'21'!L46+'22'!L28+'23'!L28+'24'!L28+'25'!L28+'26'!L28+'27'!L28+'28'!L28+'29'!L28+'30'!L28+'31'!L28+'32'!L32+'33'!L28+'34'!L32+'35'!L28+'36'!L28+'37'!L28+'38'!L28+'15'!L28</f>
        <v>59000</v>
      </c>
      <c r="J108" s="484">
        <f>'1'!M28+'2'!M48+'6'!M31+'3'!M28+'4'!M28+'5'!M28+'7N'!M28+'8'!M28+'9'!M30+'10'!M30+'11'!M29+'12'!M28+'13'!M28+'14'!M28+'16'!M37+'17'!M41+'18'!M34+'19'!M32+'20'!M38+'21'!M46+'22'!M28+'23'!M28+'24'!M28+'25'!M28+'26'!M28+'27'!M28+'28'!M28+'29'!M28+'30'!M28+'31'!M28+'32'!M32+'33'!M28+'34'!M32+'35'!M28+'36'!M28+'37'!M28+'38'!M28+'15'!M28</f>
        <v>1095500</v>
      </c>
      <c r="K108" s="374">
        <f t="shared" si="29"/>
        <v>171.16920048124248</v>
      </c>
    </row>
    <row r="109" spans="3:13" ht="15" customHeight="1" x14ac:dyDescent="0.2">
      <c r="C109" s="351">
        <v>821300</v>
      </c>
      <c r="D109" s="352" t="s">
        <v>431</v>
      </c>
      <c r="E109" s="392" t="s">
        <v>432</v>
      </c>
      <c r="F109" s="373">
        <f>'34'!I33</f>
        <v>74760</v>
      </c>
      <c r="G109" s="460">
        <f>'34'!J33</f>
        <v>74760</v>
      </c>
      <c r="H109" s="483">
        <f>'34'!K33</f>
        <v>560000</v>
      </c>
      <c r="I109" s="373">
        <f>'34'!L33</f>
        <v>0</v>
      </c>
      <c r="J109" s="484">
        <f>'34'!M33</f>
        <v>560000</v>
      </c>
      <c r="K109" s="374">
        <f t="shared" si="29"/>
        <v>749.06367041198496</v>
      </c>
    </row>
    <row r="110" spans="3:13" ht="15" customHeight="1" x14ac:dyDescent="0.2">
      <c r="C110" s="351">
        <v>821500</v>
      </c>
      <c r="D110" s="352"/>
      <c r="E110" s="392" t="s">
        <v>433</v>
      </c>
      <c r="F110" s="373">
        <f>'2'!I49+'1'!I29</f>
        <v>45000</v>
      </c>
      <c r="G110" s="460">
        <f>'2'!J49+'1'!J29</f>
        <v>45000</v>
      </c>
      <c r="H110" s="483">
        <f>'2'!K49+'1'!K29</f>
        <v>35000</v>
      </c>
      <c r="I110" s="373">
        <f>'2'!L49+'1'!L29</f>
        <v>0</v>
      </c>
      <c r="J110" s="484">
        <f>'2'!M49+'1'!M29</f>
        <v>35000</v>
      </c>
      <c r="K110" s="374">
        <f t="shared" ref="K110:K117" si="36">IF(G110=0,"",J110/G110*100)</f>
        <v>77.777777777777786</v>
      </c>
    </row>
    <row r="111" spans="3:13" ht="15" customHeight="1" x14ac:dyDescent="0.2">
      <c r="C111" s="351">
        <v>821500</v>
      </c>
      <c r="D111" s="352" t="s">
        <v>434</v>
      </c>
      <c r="E111" s="392" t="s">
        <v>435</v>
      </c>
      <c r="F111" s="373">
        <f>'19'!I33</f>
        <v>1375000</v>
      </c>
      <c r="G111" s="460">
        <f>'19'!J33</f>
        <v>1375000</v>
      </c>
      <c r="H111" s="483">
        <f>'19'!K33</f>
        <v>525430</v>
      </c>
      <c r="I111" s="373">
        <f>'19'!L33</f>
        <v>874570</v>
      </c>
      <c r="J111" s="484">
        <f>'19'!M33</f>
        <v>1400000</v>
      </c>
      <c r="K111" s="374">
        <f t="shared" si="36"/>
        <v>101.81818181818181</v>
      </c>
    </row>
    <row r="112" spans="3:13" ht="15" customHeight="1" x14ac:dyDescent="0.2">
      <c r="C112" s="351">
        <v>821600</v>
      </c>
      <c r="D112" s="352" t="s">
        <v>436</v>
      </c>
      <c r="E112" s="392" t="s">
        <v>437</v>
      </c>
      <c r="F112" s="373">
        <f>'19'!I34</f>
        <v>2230000</v>
      </c>
      <c r="G112" s="460">
        <f>'19'!J34</f>
        <v>2230000</v>
      </c>
      <c r="H112" s="483">
        <f>'19'!K34</f>
        <v>0</v>
      </c>
      <c r="I112" s="373">
        <f>'19'!L34</f>
        <v>500000</v>
      </c>
      <c r="J112" s="484">
        <f>'19'!M34</f>
        <v>500000</v>
      </c>
      <c r="K112" s="374">
        <f t="shared" si="36"/>
        <v>22.421524663677133</v>
      </c>
    </row>
    <row r="113" spans="3:13" ht="11.25" customHeight="1" x14ac:dyDescent="0.2">
      <c r="C113" s="351"/>
      <c r="D113" s="352"/>
      <c r="E113" s="62"/>
      <c r="F113" s="382"/>
      <c r="G113" s="465"/>
      <c r="H113" s="494"/>
      <c r="I113" s="382"/>
      <c r="J113" s="484"/>
      <c r="K113" s="374" t="str">
        <f t="shared" si="36"/>
        <v/>
      </c>
    </row>
    <row r="114" spans="3:13" ht="15" customHeight="1" x14ac:dyDescent="0.2">
      <c r="C114" s="367">
        <v>823000</v>
      </c>
      <c r="D114" s="368"/>
      <c r="E114" s="370" t="s">
        <v>438</v>
      </c>
      <c r="F114" s="371">
        <f t="shared" ref="F114:J114" si="37">SUM(F115:F116)</f>
        <v>510020</v>
      </c>
      <c r="G114" s="459">
        <f t="shared" si="37"/>
        <v>510020</v>
      </c>
      <c r="H114" s="481">
        <f t="shared" si="37"/>
        <v>518870</v>
      </c>
      <c r="I114" s="371">
        <f t="shared" si="37"/>
        <v>0</v>
      </c>
      <c r="J114" s="482">
        <f t="shared" si="37"/>
        <v>518870</v>
      </c>
      <c r="K114" s="372">
        <f t="shared" si="36"/>
        <v>101.73522606956591</v>
      </c>
    </row>
    <row r="115" spans="3:13" ht="15" customHeight="1" x14ac:dyDescent="0.2">
      <c r="C115" s="351">
        <v>823200</v>
      </c>
      <c r="D115" s="352" t="s">
        <v>423</v>
      </c>
      <c r="E115" s="392" t="s">
        <v>439</v>
      </c>
      <c r="F115" s="373">
        <f>'17'!I44</f>
        <v>79730</v>
      </c>
      <c r="G115" s="460">
        <f>'17'!J44</f>
        <v>79730</v>
      </c>
      <c r="H115" s="483">
        <f>'17'!K44</f>
        <v>88580</v>
      </c>
      <c r="I115" s="373">
        <f>'17'!L44</f>
        <v>0</v>
      </c>
      <c r="J115" s="484">
        <f>'17'!M44</f>
        <v>88580</v>
      </c>
      <c r="K115" s="374">
        <f t="shared" si="36"/>
        <v>111.09996237300889</v>
      </c>
    </row>
    <row r="116" spans="3:13" ht="15" customHeight="1" x14ac:dyDescent="0.2">
      <c r="C116" s="351">
        <v>823200</v>
      </c>
      <c r="D116" s="352" t="s">
        <v>425</v>
      </c>
      <c r="E116" s="392" t="s">
        <v>440</v>
      </c>
      <c r="F116" s="373">
        <f>'17'!I45</f>
        <v>430290</v>
      </c>
      <c r="G116" s="460">
        <f>'17'!J45</f>
        <v>430290</v>
      </c>
      <c r="H116" s="483">
        <f>'17'!K45</f>
        <v>430290</v>
      </c>
      <c r="I116" s="373">
        <f>'17'!L45</f>
        <v>0</v>
      </c>
      <c r="J116" s="484">
        <f>'17'!M45</f>
        <v>430290</v>
      </c>
      <c r="K116" s="374">
        <f t="shared" si="36"/>
        <v>100</v>
      </c>
    </row>
    <row r="117" spans="3:13" ht="8.25" customHeight="1" x14ac:dyDescent="0.2">
      <c r="C117" s="351"/>
      <c r="D117" s="352"/>
      <c r="E117" s="11"/>
      <c r="F117" s="27"/>
      <c r="G117" s="264"/>
      <c r="H117" s="261"/>
      <c r="I117" s="27"/>
      <c r="J117" s="478"/>
      <c r="K117" s="58" t="str">
        <f t="shared" si="36"/>
        <v/>
      </c>
    </row>
    <row r="118" spans="3:13" ht="15" customHeight="1" x14ac:dyDescent="0.25">
      <c r="C118" s="369"/>
      <c r="D118" s="359"/>
      <c r="E118" s="8" t="s">
        <v>441</v>
      </c>
      <c r="F118" s="18" t="s">
        <v>846</v>
      </c>
      <c r="G118" s="454" t="s">
        <v>846</v>
      </c>
      <c r="H118" s="472" t="s">
        <v>901</v>
      </c>
      <c r="I118" s="18"/>
      <c r="J118" s="471" t="s">
        <v>901</v>
      </c>
      <c r="K118" s="58"/>
    </row>
    <row r="119" spans="3:13" ht="15" customHeight="1" x14ac:dyDescent="0.25">
      <c r="C119" s="4"/>
      <c r="D119" s="130"/>
      <c r="E119" s="8" t="s">
        <v>442</v>
      </c>
      <c r="F119" s="14">
        <f>'1'!I32+'2'!I52+'6'!I34+'3'!I31+'4'!I31+'5'!I31+'7N'!I31+'8'!I31+'9'!I33+'10'!I33+'11'!I32+'12'!I31+'13'!I31+'14'!I31+'16'!I40+'17'!I48+'18'!I37+'19'!I37+'20'!I41+'21'!I49+'22'!I31+'23'!I31+'24'!I31+'25'!I31+'26'!I31+'27'!I31+'28'!I31+'29'!I31+'30'!I31+'31'!I31+'32'!I35+'33'!I31+'34'!I36+'35'!I31+'36'!I31+'37'!I31+'38'!I31+'15'!I31</f>
        <v>72119800</v>
      </c>
      <c r="G119" s="259">
        <f>'1'!J32+'2'!J52+'6'!J34+'3'!J31+'4'!J31+'5'!J31+'7N'!J31+'8'!J31+'9'!J33+'10'!J33+'11'!J32+'12'!J31+'13'!J31+'14'!J31+'16'!J40+'17'!J48+'18'!J37+'19'!J37+'20'!J41+'21'!J49+'22'!J31+'23'!J31+'24'!J31+'25'!J31+'26'!J31+'27'!J31+'28'!J31+'29'!J31+'30'!J31+'31'!J31+'32'!J35+'33'!J31+'34'!J36+'35'!J31+'36'!J31+'37'!J31+'38'!J31+'15'!J31</f>
        <v>72119800</v>
      </c>
      <c r="H119" s="262">
        <f>'1'!K32+'2'!K52+'6'!K34+'3'!K31+'4'!K31+'5'!K31+'7N'!K31+'8'!K31+'9'!K33+'10'!K33+'11'!K32+'12'!K31+'13'!K31+'14'!K31+'16'!K40+'17'!K48+'18'!K37+'19'!K37+'20'!K41+'21'!K49+'22'!K31+'23'!K31+'24'!K31+'25'!K31+'26'!K31+'27'!K31+'28'!K31+'29'!K31+'30'!K31+'31'!K31+'32'!K35+'33'!K31+'34'!K36+'35'!K31+'36'!K31+'37'!K31+'38'!K31+'15'!K31</f>
        <v>68195670</v>
      </c>
      <c r="I119" s="14">
        <f>'1'!L32+'2'!L52+'6'!L34+'3'!L31+'4'!L31+'5'!L31+'7N'!L31+'8'!L31+'9'!L33+'10'!L33+'11'!L32+'12'!L31+'13'!L31+'14'!L31+'16'!L40+'17'!L48+'18'!L37+'19'!L37+'20'!L41+'21'!L49+'22'!L31+'23'!L31+'24'!L31+'25'!L31+'26'!L31+'27'!L31+'28'!L31+'29'!L31+'30'!L31+'31'!L31+'32'!L35+'33'!L31+'34'!L36+'35'!L31+'36'!L31+'37'!L31+'38'!L31+'15'!L31</f>
        <v>4262680</v>
      </c>
      <c r="J119" s="476">
        <f>'1'!M32+'2'!M52+'6'!M34+'3'!M31+'4'!M31+'5'!M31+'7N'!M31+'8'!M31+'9'!M33+'10'!M33+'11'!M32+'12'!M31+'13'!M31+'14'!M31+'16'!M40+'17'!M48+'18'!M37+'19'!M37+'20'!M41+'21'!M49+'22'!M31+'23'!M31+'24'!M31+'25'!M31+'26'!M31+'27'!M31+'28'!M31+'29'!M31+'30'!M31+'31'!M31+'32'!M35+'33'!M31+'34'!M36+'35'!M31+'36'!M31+'37'!M31+'38'!M31+'15'!M31</f>
        <v>72458350</v>
      </c>
      <c r="K119" s="113">
        <f>IF(G119=0,"",J119/G119*100)</f>
        <v>100.46942725853371</v>
      </c>
    </row>
    <row r="120" spans="3:13" ht="9" customHeight="1" thickBot="1" x14ac:dyDescent="0.25">
      <c r="C120" s="26"/>
      <c r="D120" s="134"/>
      <c r="E120" s="16"/>
      <c r="F120" s="25"/>
      <c r="G120" s="25"/>
      <c r="H120" s="15"/>
      <c r="I120" s="16"/>
      <c r="J120" s="496"/>
      <c r="K120" s="54"/>
    </row>
    <row r="121" spans="3:13" ht="9" customHeight="1" thickBot="1" x14ac:dyDescent="0.25">
      <c r="C121" s="40"/>
      <c r="D121" s="120"/>
      <c r="E121" s="41"/>
      <c r="F121" s="41"/>
      <c r="G121" s="41"/>
      <c r="H121" s="41"/>
      <c r="I121" s="41"/>
      <c r="J121" s="41"/>
      <c r="K121" s="532"/>
    </row>
    <row r="122" spans="3:13" ht="7.5" customHeight="1" x14ac:dyDescent="0.2"/>
    <row r="123" spans="3:13" ht="8.25" customHeight="1" x14ac:dyDescent="0.2">
      <c r="C123" s="30"/>
      <c r="D123" s="30"/>
    </row>
    <row r="124" spans="3:13" s="296" customFormat="1" ht="15" customHeight="1" x14ac:dyDescent="0.2">
      <c r="C124" s="313" t="s">
        <v>443</v>
      </c>
      <c r="D124" s="313"/>
      <c r="I124" s="314"/>
      <c r="J124" s="315"/>
      <c r="M124" s="314"/>
    </row>
    <row r="125" spans="3:13" s="296" customFormat="1" ht="6.75" customHeight="1" x14ac:dyDescent="0.2">
      <c r="C125" s="316"/>
      <c r="D125" s="316"/>
      <c r="I125" s="314"/>
      <c r="J125" s="315"/>
      <c r="M125" s="314"/>
    </row>
    <row r="126" spans="3:13" s="296" customFormat="1" ht="12" customHeight="1" x14ac:dyDescent="0.2">
      <c r="C126" s="633" t="s">
        <v>444</v>
      </c>
      <c r="D126" s="633"/>
      <c r="E126" s="633"/>
      <c r="F126" s="317"/>
      <c r="G126" s="317"/>
      <c r="H126" s="317"/>
      <c r="I126" s="317"/>
      <c r="J126" s="318"/>
      <c r="M126" s="314"/>
    </row>
    <row r="127" spans="3:13" s="296" customFormat="1" ht="9" customHeight="1" x14ac:dyDescent="0.2">
      <c r="C127" s="317"/>
      <c r="D127" s="317"/>
      <c r="E127" s="317"/>
      <c r="F127" s="317"/>
      <c r="G127" s="317"/>
      <c r="H127" s="317"/>
      <c r="I127" s="317"/>
      <c r="J127" s="318"/>
      <c r="M127" s="314"/>
    </row>
    <row r="128" spans="3:13" s="296" customFormat="1" ht="12" customHeight="1" x14ac:dyDescent="0.2">
      <c r="C128" s="629" t="str">
        <f>CONCATENATE("     Rashodi i izdaci u Proračunu u iznosu od ",TEXT(J119,"#.##0")," KM raspoređuju se po korisnicima proračuna u Posebnom dijelu Proračuna kako slijedi:")</f>
        <v xml:space="preserve">     Rashodi i izdaci u Proračunu u iznosu od 72.458.350 KM raspoređuju se po korisnicima proračuna u Posebnom dijelu Proračuna kako slijedi:</v>
      </c>
      <c r="D128" s="629"/>
      <c r="E128" s="629"/>
      <c r="F128" s="629"/>
      <c r="G128" s="629"/>
      <c r="H128" s="629"/>
      <c r="I128" s="629"/>
      <c r="J128" s="629"/>
      <c r="M128" s="314"/>
    </row>
    <row r="129" spans="3:11" ht="15" customHeight="1" x14ac:dyDescent="0.2">
      <c r="C129" s="313"/>
      <c r="D129" s="313"/>
      <c r="E129" s="296"/>
      <c r="F129" s="296"/>
      <c r="G129" s="296"/>
      <c r="H129" s="296"/>
      <c r="I129" s="296"/>
      <c r="J129" s="314"/>
      <c r="K129" s="315"/>
    </row>
    <row r="130" spans="3:11" ht="6.75" customHeight="1" x14ac:dyDescent="0.2">
      <c r="C130" s="316"/>
      <c r="D130" s="316"/>
      <c r="E130" s="296"/>
      <c r="F130" s="296"/>
      <c r="G130" s="296"/>
      <c r="H130" s="296"/>
      <c r="I130" s="296"/>
      <c r="J130" s="314"/>
      <c r="K130" s="315"/>
    </row>
    <row r="131" spans="3:11" ht="12" customHeight="1" x14ac:dyDescent="0.2">
      <c r="C131" s="633"/>
      <c r="D131" s="633"/>
      <c r="E131" s="633"/>
      <c r="F131" s="317"/>
      <c r="G131" s="317"/>
      <c r="H131" s="317"/>
      <c r="I131" s="317"/>
      <c r="J131" s="317"/>
      <c r="K131" s="318"/>
    </row>
    <row r="132" spans="3:11" ht="9" customHeight="1" x14ac:dyDescent="0.2">
      <c r="C132" s="317"/>
      <c r="D132" s="317"/>
      <c r="E132" s="317"/>
      <c r="F132" s="317"/>
      <c r="G132" s="317"/>
      <c r="H132" s="317"/>
      <c r="I132" s="317"/>
      <c r="J132" s="317"/>
      <c r="K132" s="318"/>
    </row>
    <row r="133" spans="3:11" ht="12" customHeight="1" x14ac:dyDescent="0.2">
      <c r="C133" s="629"/>
      <c r="D133" s="629"/>
      <c r="E133" s="629"/>
      <c r="F133" s="629"/>
      <c r="G133" s="629"/>
      <c r="H133" s="629"/>
      <c r="I133" s="629"/>
      <c r="J133" s="629"/>
      <c r="K133" s="629"/>
    </row>
  </sheetData>
  <mergeCells count="13">
    <mergeCell ref="C133:K133"/>
    <mergeCell ref="J3:K3"/>
    <mergeCell ref="C3:E3"/>
    <mergeCell ref="C131:E131"/>
    <mergeCell ref="H4:J4"/>
    <mergeCell ref="C4:C5"/>
    <mergeCell ref="D4:D5"/>
    <mergeCell ref="E4:E5"/>
    <mergeCell ref="F4:F5"/>
    <mergeCell ref="G4:G5"/>
    <mergeCell ref="K4:K5"/>
    <mergeCell ref="C126:E126"/>
    <mergeCell ref="C128:J128"/>
  </mergeCells>
  <phoneticPr fontId="2" type="noConversion"/>
  <pageMargins left="0.93" right="0.31496062992125984" top="0.35433070866141736" bottom="0.49" header="0.39370078740157483" footer="0.45"/>
  <pageSetup paperSize="9" scale="87" firstPageNumber="7" orientation="landscape" r:id="rId1"/>
  <headerFooter alignWithMargins="0">
    <oddFooter>&amp;R&amp;P</oddFooter>
  </headerFooter>
  <rowBreaks count="2" manualBreakCount="2">
    <brk id="40" min="2" max="10" man="1"/>
    <brk id="102" min="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/>
  <dimension ref="B1:R95"/>
  <sheetViews>
    <sheetView topLeftCell="D1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5" width="9.140625" style="9"/>
    <col min="16" max="16" width="9.5703125" style="9" bestFit="1" customWidth="1"/>
    <col min="17" max="16384" width="9.140625" style="9"/>
  </cols>
  <sheetData>
    <row r="1" spans="2:18" ht="13.5" thickBot="1" x14ac:dyDescent="0.25"/>
    <row r="2" spans="2:18" s="64" customFormat="1" ht="20.100000000000001" customHeight="1" thickTop="1" thickBot="1" x14ac:dyDescent="0.25">
      <c r="B2" s="649" t="s">
        <v>445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1"/>
    </row>
    <row r="3" spans="2:18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8" s="1" customFormat="1" ht="39" customHeight="1" x14ac:dyDescent="0.2">
      <c r="B4" s="656" t="s">
        <v>286</v>
      </c>
      <c r="C4" s="658" t="s">
        <v>446</v>
      </c>
      <c r="D4" s="658" t="s">
        <v>447</v>
      </c>
      <c r="E4" s="667" t="s">
        <v>448</v>
      </c>
      <c r="F4" s="662" t="s">
        <v>287</v>
      </c>
      <c r="G4" s="660" t="s">
        <v>288</v>
      </c>
      <c r="H4" s="662" t="s">
        <v>99</v>
      </c>
      <c r="I4" s="662" t="s">
        <v>886</v>
      </c>
      <c r="J4" s="664" t="s">
        <v>808</v>
      </c>
      <c r="K4" s="653" t="s">
        <v>813</v>
      </c>
      <c r="L4" s="654"/>
      <c r="M4" s="655"/>
      <c r="N4" s="665" t="s">
        <v>65</v>
      </c>
    </row>
    <row r="5" spans="2:18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0" t="s">
        <v>289</v>
      </c>
      <c r="L5" s="158" t="s">
        <v>290</v>
      </c>
      <c r="M5" s="468" t="s">
        <v>291</v>
      </c>
      <c r="N5" s="666"/>
    </row>
    <row r="6" spans="2:18" s="2" customFormat="1" ht="12.7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8" s="2" customFormat="1" ht="12.95" customHeight="1" x14ac:dyDescent="0.25">
      <c r="B7" s="6">
        <v>10</v>
      </c>
      <c r="C7" s="7" t="s">
        <v>451</v>
      </c>
      <c r="D7" s="7" t="s">
        <v>452</v>
      </c>
      <c r="E7" s="286" t="s">
        <v>605</v>
      </c>
      <c r="F7" s="5"/>
      <c r="G7" s="5"/>
      <c r="H7" s="5"/>
      <c r="I7" s="5"/>
      <c r="J7" s="5"/>
      <c r="K7" s="4"/>
      <c r="L7" s="5"/>
      <c r="M7" s="502"/>
      <c r="N7" s="537"/>
    </row>
    <row r="8" spans="2:18" s="1" customFormat="1" ht="12.95" customHeight="1" x14ac:dyDescent="0.25">
      <c r="B8" s="12"/>
      <c r="C8" s="8"/>
      <c r="D8" s="8"/>
      <c r="E8" s="8"/>
      <c r="F8" s="121">
        <v>611000</v>
      </c>
      <c r="G8" s="135"/>
      <c r="H8" s="8" t="s">
        <v>300</v>
      </c>
      <c r="I8" s="150">
        <f>SUM(I9:I10)</f>
        <v>926440</v>
      </c>
      <c r="J8" s="150">
        <f>I8</f>
        <v>926440</v>
      </c>
      <c r="K8" s="319">
        <f>SUM(K9:K10)</f>
        <v>948320</v>
      </c>
      <c r="L8" s="98">
        <f>SUM(L9:L10)</f>
        <v>0</v>
      </c>
      <c r="M8" s="503">
        <f>SUM(M9:M10)</f>
        <v>948320</v>
      </c>
      <c r="N8" s="538">
        <f t="shared" ref="N8:N30" si="0">IF(J8=0,"",M8/J8*100)</f>
        <v>102.3617287681879</v>
      </c>
      <c r="P8" s="43"/>
    </row>
    <row r="9" spans="2:18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758990+1000</f>
        <v>759990</v>
      </c>
      <c r="J9" s="151">
        <f t="shared" ref="J9:J29" si="1">I9</f>
        <v>759990</v>
      </c>
      <c r="K9" s="253">
        <f>782900+19570</f>
        <v>802470</v>
      </c>
      <c r="L9" s="97">
        <v>0</v>
      </c>
      <c r="M9" s="504">
        <f>SUM(K9:L9)</f>
        <v>802470</v>
      </c>
      <c r="N9" s="539">
        <f t="shared" si="0"/>
        <v>105.58954723088461</v>
      </c>
      <c r="P9" s="43"/>
      <c r="Q9" s="44"/>
      <c r="R9" s="44"/>
    </row>
    <row r="10" spans="2:18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156250+1000+23*400</f>
        <v>166450</v>
      </c>
      <c r="J10" s="151">
        <f t="shared" si="1"/>
        <v>166450</v>
      </c>
      <c r="K10" s="253">
        <f>145850</f>
        <v>145850</v>
      </c>
      <c r="L10" s="97">
        <v>0</v>
      </c>
      <c r="M10" s="504">
        <f t="shared" ref="M10" si="2">SUM(K10:L10)</f>
        <v>145850</v>
      </c>
      <c r="N10" s="539">
        <f t="shared" si="0"/>
        <v>87.623911084409727</v>
      </c>
      <c r="P10" s="43"/>
    </row>
    <row r="11" spans="2:18" ht="8.1" customHeight="1" x14ac:dyDescent="0.2">
      <c r="B11" s="10"/>
      <c r="C11" s="11"/>
      <c r="D11" s="11"/>
      <c r="E11" s="11"/>
      <c r="F11" s="122"/>
      <c r="G11" s="136"/>
      <c r="H11" s="148"/>
      <c r="I11" s="151"/>
      <c r="J11" s="151"/>
      <c r="K11" s="253"/>
      <c r="L11" s="97"/>
      <c r="M11" s="504"/>
      <c r="N11" s="539" t="str">
        <f t="shared" si="0"/>
        <v/>
      </c>
      <c r="P11" s="43"/>
    </row>
    <row r="12" spans="2:18" ht="12.95" customHeight="1" x14ac:dyDescent="0.25">
      <c r="B12" s="12"/>
      <c r="C12" s="8"/>
      <c r="D12" s="8"/>
      <c r="E12" s="8"/>
      <c r="F12" s="121">
        <v>612000</v>
      </c>
      <c r="G12" s="135"/>
      <c r="H12" s="8" t="s">
        <v>305</v>
      </c>
      <c r="I12" s="150">
        <f t="shared" ref="I12" si="3">I13+I14</f>
        <v>80000</v>
      </c>
      <c r="J12" s="150">
        <f t="shared" si="1"/>
        <v>80000</v>
      </c>
      <c r="K12" s="319">
        <f>K13+K14</f>
        <v>84480</v>
      </c>
      <c r="L12" s="98">
        <f>L13+L14</f>
        <v>0</v>
      </c>
      <c r="M12" s="503">
        <f>M13+M14</f>
        <v>84480</v>
      </c>
      <c r="N12" s="538">
        <f t="shared" si="0"/>
        <v>105.60000000000001</v>
      </c>
      <c r="P12" s="43"/>
    </row>
    <row r="13" spans="2:18" s="1" customFormat="1" ht="12.95" customHeight="1" x14ac:dyDescent="0.2">
      <c r="B13" s="10"/>
      <c r="C13" s="11"/>
      <c r="D13" s="11"/>
      <c r="E13" s="11"/>
      <c r="F13" s="122">
        <v>612100</v>
      </c>
      <c r="G13" s="136"/>
      <c r="H13" s="13" t="s">
        <v>306</v>
      </c>
      <c r="I13" s="151">
        <f>79700+300</f>
        <v>80000</v>
      </c>
      <c r="J13" s="151">
        <f t="shared" si="1"/>
        <v>80000</v>
      </c>
      <c r="K13" s="253">
        <f>82320+2160</f>
        <v>84480</v>
      </c>
      <c r="L13" s="97">
        <v>0</v>
      </c>
      <c r="M13" s="504">
        <f>SUM(K13:L13)</f>
        <v>84480</v>
      </c>
      <c r="N13" s="539">
        <f t="shared" si="0"/>
        <v>105.60000000000001</v>
      </c>
      <c r="P13" s="43"/>
    </row>
    <row r="14" spans="2:18" ht="8.1" customHeight="1" x14ac:dyDescent="0.2">
      <c r="B14" s="10"/>
      <c r="C14" s="11"/>
      <c r="D14" s="11"/>
      <c r="E14" s="11"/>
      <c r="F14" s="122"/>
      <c r="G14" s="136"/>
      <c r="H14" s="11"/>
      <c r="I14" s="151"/>
      <c r="J14" s="151"/>
      <c r="K14" s="253"/>
      <c r="L14" s="27"/>
      <c r="M14" s="478"/>
      <c r="N14" s="539" t="str">
        <f t="shared" si="0"/>
        <v/>
      </c>
      <c r="P14" s="43"/>
    </row>
    <row r="15" spans="2:18" ht="12.95" customHeight="1" x14ac:dyDescent="0.25">
      <c r="B15" s="12"/>
      <c r="C15" s="8"/>
      <c r="D15" s="8"/>
      <c r="E15" s="8"/>
      <c r="F15" s="121">
        <v>613000</v>
      </c>
      <c r="G15" s="135"/>
      <c r="H15" s="8" t="s">
        <v>309</v>
      </c>
      <c r="I15" s="150">
        <f>SUM(I16:I24)</f>
        <v>481060</v>
      </c>
      <c r="J15" s="150">
        <f t="shared" si="1"/>
        <v>481060</v>
      </c>
      <c r="K15" s="320">
        <f>SUM(K16:K24)</f>
        <v>479320</v>
      </c>
      <c r="L15" s="119">
        <f>SUM(L16:L24)</f>
        <v>0</v>
      </c>
      <c r="M15" s="476">
        <f>SUM(M16:M24)</f>
        <v>479320</v>
      </c>
      <c r="N15" s="538">
        <f t="shared" si="0"/>
        <v>99.638298756911823</v>
      </c>
      <c r="P15" s="43"/>
    </row>
    <row r="16" spans="2:18" s="1" customFormat="1" ht="12.95" customHeight="1" x14ac:dyDescent="0.2">
      <c r="B16" s="10"/>
      <c r="C16" s="11"/>
      <c r="D16" s="11"/>
      <c r="E16" s="11"/>
      <c r="F16" s="122">
        <v>613100</v>
      </c>
      <c r="G16" s="136"/>
      <c r="H16" s="11" t="s">
        <v>310</v>
      </c>
      <c r="I16" s="151">
        <v>7000</v>
      </c>
      <c r="J16" s="151">
        <f t="shared" si="1"/>
        <v>7000</v>
      </c>
      <c r="K16" s="253">
        <v>7000</v>
      </c>
      <c r="L16" s="151">
        <v>0</v>
      </c>
      <c r="M16" s="504">
        <f t="shared" ref="M16:M24" si="4">SUM(K16:L16)</f>
        <v>7000</v>
      </c>
      <c r="N16" s="539">
        <f t="shared" si="0"/>
        <v>100</v>
      </c>
      <c r="P16" s="43"/>
    </row>
    <row r="17" spans="2:16" ht="12.95" customHeight="1" x14ac:dyDescent="0.2">
      <c r="B17" s="10"/>
      <c r="C17" s="11"/>
      <c r="D17" s="11"/>
      <c r="E17" s="11"/>
      <c r="F17" s="122">
        <v>613200</v>
      </c>
      <c r="G17" s="136"/>
      <c r="H17" s="11" t="s">
        <v>311</v>
      </c>
      <c r="I17" s="151">
        <v>8500</v>
      </c>
      <c r="J17" s="151">
        <f t="shared" si="1"/>
        <v>8500</v>
      </c>
      <c r="K17" s="253">
        <v>8500</v>
      </c>
      <c r="L17" s="151">
        <v>0</v>
      </c>
      <c r="M17" s="504">
        <f t="shared" si="4"/>
        <v>8500</v>
      </c>
      <c r="N17" s="539">
        <f t="shared" si="0"/>
        <v>100</v>
      </c>
      <c r="P17" s="43"/>
    </row>
    <row r="18" spans="2:16" ht="12.95" customHeight="1" x14ac:dyDescent="0.2">
      <c r="B18" s="10"/>
      <c r="C18" s="11"/>
      <c r="D18" s="11"/>
      <c r="E18" s="11"/>
      <c r="F18" s="122">
        <v>613300</v>
      </c>
      <c r="G18" s="136"/>
      <c r="H18" s="11" t="s">
        <v>312</v>
      </c>
      <c r="I18" s="151">
        <v>8000</v>
      </c>
      <c r="J18" s="151">
        <f t="shared" si="1"/>
        <v>8000</v>
      </c>
      <c r="K18" s="253">
        <v>8000</v>
      </c>
      <c r="L18" s="151">
        <v>0</v>
      </c>
      <c r="M18" s="504">
        <f t="shared" si="4"/>
        <v>8000</v>
      </c>
      <c r="N18" s="539">
        <f t="shared" si="0"/>
        <v>100</v>
      </c>
      <c r="P18" s="43"/>
    </row>
    <row r="19" spans="2:16" ht="12.95" customHeight="1" x14ac:dyDescent="0.2">
      <c r="B19" s="10"/>
      <c r="C19" s="11"/>
      <c r="D19" s="11"/>
      <c r="E19" s="11"/>
      <c r="F19" s="122">
        <v>613400</v>
      </c>
      <c r="G19" s="136"/>
      <c r="H19" s="11" t="s">
        <v>313</v>
      </c>
      <c r="I19" s="151">
        <v>5000</v>
      </c>
      <c r="J19" s="151">
        <f t="shared" si="1"/>
        <v>5000</v>
      </c>
      <c r="K19" s="253">
        <v>5000</v>
      </c>
      <c r="L19" s="151">
        <v>0</v>
      </c>
      <c r="M19" s="504">
        <f t="shared" si="4"/>
        <v>5000</v>
      </c>
      <c r="N19" s="539">
        <f t="shared" si="0"/>
        <v>100</v>
      </c>
      <c r="P19" s="43"/>
    </row>
    <row r="20" spans="2:16" ht="12.95" customHeight="1" x14ac:dyDescent="0.2">
      <c r="B20" s="10"/>
      <c r="C20" s="11"/>
      <c r="D20" s="11"/>
      <c r="E20" s="11"/>
      <c r="F20" s="122">
        <v>613500</v>
      </c>
      <c r="G20" s="136"/>
      <c r="H20" s="11" t="s">
        <v>316</v>
      </c>
      <c r="I20" s="151">
        <v>15000</v>
      </c>
      <c r="J20" s="151">
        <f t="shared" si="1"/>
        <v>15000</v>
      </c>
      <c r="K20" s="253">
        <v>15000</v>
      </c>
      <c r="L20" s="151">
        <v>0</v>
      </c>
      <c r="M20" s="504">
        <f t="shared" si="4"/>
        <v>15000</v>
      </c>
      <c r="N20" s="539">
        <f t="shared" si="0"/>
        <v>100</v>
      </c>
      <c r="P20" s="43"/>
    </row>
    <row r="21" spans="2:16" ht="12.95" customHeight="1" x14ac:dyDescent="0.2">
      <c r="B21" s="10"/>
      <c r="C21" s="11"/>
      <c r="D21" s="11"/>
      <c r="E21" s="11"/>
      <c r="F21" s="122">
        <v>613600</v>
      </c>
      <c r="G21" s="136"/>
      <c r="H21" s="11" t="s">
        <v>317</v>
      </c>
      <c r="I21" s="151">
        <v>0</v>
      </c>
      <c r="J21" s="151">
        <f t="shared" si="1"/>
        <v>0</v>
      </c>
      <c r="K21" s="253">
        <v>0</v>
      </c>
      <c r="L21" s="151">
        <v>0</v>
      </c>
      <c r="M21" s="504">
        <f t="shared" si="4"/>
        <v>0</v>
      </c>
      <c r="N21" s="539" t="str">
        <f t="shared" si="0"/>
        <v/>
      </c>
      <c r="P21" s="43"/>
    </row>
    <row r="22" spans="2:16" ht="12.95" customHeight="1" x14ac:dyDescent="0.2">
      <c r="B22" s="10"/>
      <c r="C22" s="11"/>
      <c r="D22" s="11"/>
      <c r="E22" s="11"/>
      <c r="F22" s="122">
        <v>613700</v>
      </c>
      <c r="G22" s="136"/>
      <c r="H22" s="11" t="s">
        <v>318</v>
      </c>
      <c r="I22" s="151">
        <v>7000</v>
      </c>
      <c r="J22" s="151">
        <f t="shared" si="1"/>
        <v>7000</v>
      </c>
      <c r="K22" s="253">
        <v>7000</v>
      </c>
      <c r="L22" s="151">
        <v>0</v>
      </c>
      <c r="M22" s="504">
        <f t="shared" si="4"/>
        <v>7000</v>
      </c>
      <c r="N22" s="539">
        <f t="shared" si="0"/>
        <v>100</v>
      </c>
      <c r="P22" s="43"/>
    </row>
    <row r="23" spans="2:16" ht="12.95" customHeight="1" x14ac:dyDescent="0.2">
      <c r="B23" s="10"/>
      <c r="C23" s="11"/>
      <c r="D23" s="11"/>
      <c r="E23" s="11"/>
      <c r="F23" s="122">
        <v>613800</v>
      </c>
      <c r="G23" s="136"/>
      <c r="H23" s="11" t="s">
        <v>322</v>
      </c>
      <c r="I23" s="151">
        <v>3820</v>
      </c>
      <c r="J23" s="151">
        <f t="shared" si="1"/>
        <v>3820</v>
      </c>
      <c r="K23" s="253">
        <v>3820</v>
      </c>
      <c r="L23" s="151">
        <v>0</v>
      </c>
      <c r="M23" s="504">
        <f t="shared" si="4"/>
        <v>3820</v>
      </c>
      <c r="N23" s="539">
        <f t="shared" si="0"/>
        <v>100</v>
      </c>
      <c r="P23" s="43"/>
    </row>
    <row r="24" spans="2:16" ht="12.95" customHeight="1" x14ac:dyDescent="0.2">
      <c r="B24" s="10"/>
      <c r="C24" s="11"/>
      <c r="D24" s="11"/>
      <c r="E24" s="11"/>
      <c r="F24" s="122">
        <v>613900</v>
      </c>
      <c r="G24" s="136"/>
      <c r="H24" s="11" t="s">
        <v>325</v>
      </c>
      <c r="I24" s="151">
        <v>426740</v>
      </c>
      <c r="J24" s="151">
        <f t="shared" si="1"/>
        <v>426740</v>
      </c>
      <c r="K24" s="253">
        <v>425000</v>
      </c>
      <c r="L24" s="151">
        <v>0</v>
      </c>
      <c r="M24" s="504">
        <f t="shared" si="4"/>
        <v>425000</v>
      </c>
      <c r="N24" s="539">
        <f t="shared" si="0"/>
        <v>99.592257580728315</v>
      </c>
      <c r="O24" s="277"/>
      <c r="P24" s="43"/>
    </row>
    <row r="25" spans="2:16" ht="8.1" customHeight="1" x14ac:dyDescent="0.2">
      <c r="B25" s="10"/>
      <c r="C25" s="11"/>
      <c r="D25" s="11"/>
      <c r="E25" s="11"/>
      <c r="F25" s="122"/>
      <c r="G25" s="136"/>
      <c r="H25" s="11"/>
      <c r="I25" s="151"/>
      <c r="J25" s="151"/>
      <c r="K25" s="253"/>
      <c r="L25" s="27"/>
      <c r="M25" s="478"/>
      <c r="N25" s="539" t="str">
        <f t="shared" si="0"/>
        <v/>
      </c>
      <c r="P25" s="43"/>
    </row>
    <row r="26" spans="2:16" ht="12.95" customHeight="1" x14ac:dyDescent="0.25">
      <c r="B26" s="12"/>
      <c r="C26" s="8"/>
      <c r="D26" s="8"/>
      <c r="E26" s="8"/>
      <c r="F26" s="121">
        <v>821000</v>
      </c>
      <c r="G26" s="135"/>
      <c r="H26" s="8" t="s">
        <v>427</v>
      </c>
      <c r="I26" s="150">
        <f t="shared" ref="I26" si="5">SUM(I27:I29)</f>
        <v>10000</v>
      </c>
      <c r="J26" s="150">
        <f t="shared" si="1"/>
        <v>10000</v>
      </c>
      <c r="K26" s="319">
        <f t="shared" ref="K26:M26" si="6">SUM(K27:K29)</f>
        <v>10000</v>
      </c>
      <c r="L26" s="14">
        <f t="shared" si="6"/>
        <v>0</v>
      </c>
      <c r="M26" s="476">
        <f t="shared" si="6"/>
        <v>10000</v>
      </c>
      <c r="N26" s="538">
        <f t="shared" si="0"/>
        <v>100</v>
      </c>
      <c r="P26" s="43"/>
    </row>
    <row r="27" spans="2:16" s="1" customFormat="1" ht="12.95" customHeight="1" x14ac:dyDescent="0.2">
      <c r="B27" s="10"/>
      <c r="C27" s="11"/>
      <c r="D27" s="11"/>
      <c r="E27" s="11"/>
      <c r="F27" s="122">
        <v>821200</v>
      </c>
      <c r="G27" s="136"/>
      <c r="H27" s="11" t="s">
        <v>429</v>
      </c>
      <c r="I27" s="151">
        <v>0</v>
      </c>
      <c r="J27" s="151">
        <f t="shared" si="1"/>
        <v>0</v>
      </c>
      <c r="K27" s="253">
        <v>0</v>
      </c>
      <c r="L27" s="27">
        <v>0</v>
      </c>
      <c r="M27" s="504">
        <f t="shared" ref="M27:M28" si="7">SUM(K27:L27)</f>
        <v>0</v>
      </c>
      <c r="N27" s="539" t="str">
        <f t="shared" si="0"/>
        <v/>
      </c>
      <c r="P27" s="43"/>
    </row>
    <row r="28" spans="2:16" ht="12.95" customHeight="1" x14ac:dyDescent="0.2">
      <c r="B28" s="10"/>
      <c r="C28" s="11"/>
      <c r="D28" s="11"/>
      <c r="E28" s="11"/>
      <c r="F28" s="122">
        <v>821300</v>
      </c>
      <c r="G28" s="136"/>
      <c r="H28" s="11" t="s">
        <v>430</v>
      </c>
      <c r="I28" s="151">
        <v>5000</v>
      </c>
      <c r="J28" s="151">
        <f t="shared" si="1"/>
        <v>5000</v>
      </c>
      <c r="K28" s="253">
        <v>5000</v>
      </c>
      <c r="L28" s="27">
        <v>0</v>
      </c>
      <c r="M28" s="504">
        <f t="shared" si="7"/>
        <v>5000</v>
      </c>
      <c r="N28" s="539">
        <f t="shared" si="0"/>
        <v>100</v>
      </c>
      <c r="P28" s="43"/>
    </row>
    <row r="29" spans="2:16" ht="12.95" customHeight="1" x14ac:dyDescent="0.2">
      <c r="B29" s="10"/>
      <c r="C29" s="11"/>
      <c r="D29" s="11"/>
      <c r="E29" s="11"/>
      <c r="F29" s="122">
        <v>821500</v>
      </c>
      <c r="G29" s="136"/>
      <c r="H29" s="148" t="s">
        <v>433</v>
      </c>
      <c r="I29" s="151">
        <v>5000</v>
      </c>
      <c r="J29" s="151">
        <f t="shared" si="1"/>
        <v>5000</v>
      </c>
      <c r="K29" s="253">
        <v>5000</v>
      </c>
      <c r="L29" s="27">
        <v>0</v>
      </c>
      <c r="M29" s="504">
        <f t="shared" ref="M29" si="8">SUM(K29:L29)</f>
        <v>5000</v>
      </c>
      <c r="N29" s="539">
        <f t="shared" si="0"/>
        <v>100</v>
      </c>
      <c r="P29" s="43"/>
    </row>
    <row r="30" spans="2:16" ht="8.1" customHeight="1" x14ac:dyDescent="0.2">
      <c r="B30" s="10"/>
      <c r="C30" s="11"/>
      <c r="D30" s="11"/>
      <c r="E30" s="11"/>
      <c r="F30" s="122"/>
      <c r="G30" s="136"/>
      <c r="H30" s="11"/>
      <c r="I30" s="151"/>
      <c r="J30" s="151"/>
      <c r="K30" s="253"/>
      <c r="L30" s="27"/>
      <c r="M30" s="478"/>
      <c r="N30" s="539" t="str">
        <f t="shared" si="0"/>
        <v/>
      </c>
      <c r="P30" s="43"/>
    </row>
    <row r="31" spans="2:16" ht="12.95" customHeight="1" x14ac:dyDescent="0.25">
      <c r="B31" s="12"/>
      <c r="C31" s="8"/>
      <c r="D31" s="8"/>
      <c r="E31" s="8"/>
      <c r="F31" s="121"/>
      <c r="G31" s="135"/>
      <c r="H31" s="8" t="s">
        <v>441</v>
      </c>
      <c r="I31" s="249">
        <v>23</v>
      </c>
      <c r="J31" s="249">
        <v>23</v>
      </c>
      <c r="K31" s="321">
        <v>23</v>
      </c>
      <c r="L31" s="18"/>
      <c r="M31" s="471">
        <v>23</v>
      </c>
      <c r="N31" s="539"/>
      <c r="P31" s="43"/>
    </row>
    <row r="32" spans="2:16" s="1" customFormat="1" ht="12.95" customHeight="1" x14ac:dyDescent="0.25">
      <c r="B32" s="12"/>
      <c r="C32" s="8"/>
      <c r="D32" s="8"/>
      <c r="E32" s="8"/>
      <c r="F32" s="121"/>
      <c r="G32" s="135"/>
      <c r="H32" s="8" t="s">
        <v>453</v>
      </c>
      <c r="I32" s="14">
        <f>I8+I12+I15+I26</f>
        <v>1497500</v>
      </c>
      <c r="J32" s="14">
        <f>J8+J12+J15+J26</f>
        <v>1497500</v>
      </c>
      <c r="K32" s="262">
        <f>K8+K12+K15+K26</f>
        <v>1522120</v>
      </c>
      <c r="L32" s="14">
        <f>L8+L12+L15+L26</f>
        <v>0</v>
      </c>
      <c r="M32" s="476">
        <f>M8+M12+M15+M26</f>
        <v>1522120</v>
      </c>
      <c r="N32" s="538">
        <f>IF(J32=0,"",M32/J32*100)</f>
        <v>101.64407345575961</v>
      </c>
      <c r="P32" s="43"/>
    </row>
    <row r="33" spans="2:14" s="1" customFormat="1" ht="12.95" customHeight="1" x14ac:dyDescent="0.25">
      <c r="B33" s="12"/>
      <c r="C33" s="8"/>
      <c r="D33" s="8"/>
      <c r="E33" s="8"/>
      <c r="F33" s="121"/>
      <c r="G33" s="135"/>
      <c r="H33" s="8" t="s">
        <v>454</v>
      </c>
      <c r="I33" s="14">
        <f>I32</f>
        <v>1497500</v>
      </c>
      <c r="J33" s="14">
        <f t="shared" ref="J33:K34" si="9">J32</f>
        <v>1497500</v>
      </c>
      <c r="K33" s="262">
        <f t="shared" si="9"/>
        <v>1522120</v>
      </c>
      <c r="L33" s="14">
        <f>L32</f>
        <v>0</v>
      </c>
      <c r="M33" s="476">
        <f>M32</f>
        <v>1522120</v>
      </c>
      <c r="N33" s="538">
        <f>IF(J33=0,"",M33/J33*100)</f>
        <v>101.64407345575961</v>
      </c>
    </row>
    <row r="34" spans="2:14" s="1" customFormat="1" ht="12.95" customHeight="1" x14ac:dyDescent="0.25">
      <c r="B34" s="12"/>
      <c r="C34" s="8"/>
      <c r="D34" s="8"/>
      <c r="E34" s="8"/>
      <c r="F34" s="121"/>
      <c r="G34" s="135"/>
      <c r="H34" s="8" t="s">
        <v>455</v>
      </c>
      <c r="I34" s="14">
        <f>I33</f>
        <v>1497500</v>
      </c>
      <c r="J34" s="14">
        <f t="shared" si="9"/>
        <v>1497500</v>
      </c>
      <c r="K34" s="262">
        <f t="shared" si="9"/>
        <v>1522120</v>
      </c>
      <c r="L34" s="14">
        <f>L33</f>
        <v>0</v>
      </c>
      <c r="M34" s="476">
        <f>M33</f>
        <v>1522120</v>
      </c>
      <c r="N34" s="538">
        <f>IF(J34=0,"",M34/J34*100)</f>
        <v>101.64407345575961</v>
      </c>
    </row>
    <row r="35" spans="2:14" s="1" customFormat="1" ht="8.1" customHeight="1" thickBot="1" x14ac:dyDescent="0.25">
      <c r="B35" s="15"/>
      <c r="C35" s="16"/>
      <c r="D35" s="16"/>
      <c r="E35" s="16"/>
      <c r="F35" s="123"/>
      <c r="G35" s="137"/>
      <c r="H35" s="16"/>
      <c r="I35" s="29"/>
      <c r="J35" s="29"/>
      <c r="K35" s="263"/>
      <c r="L35" s="29"/>
      <c r="M35" s="505"/>
      <c r="N35" s="540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K37" s="277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2.95" customHeight="1" x14ac:dyDescent="0.2">
      <c r="F58" s="124"/>
      <c r="G58" s="138"/>
      <c r="M58" s="161"/>
    </row>
    <row r="59" spans="6:13" ht="17.100000000000001" customHeight="1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38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ht="14.25" x14ac:dyDescent="0.2">
      <c r="F89" s="124"/>
      <c r="G89" s="124"/>
      <c r="M89" s="161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  <row r="95" spans="6:13" x14ac:dyDescent="0.2">
      <c r="G95" s="124"/>
    </row>
  </sheetData>
  <mergeCells count="13">
    <mergeCell ref="B2:N2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N4:N5"/>
    <mergeCell ref="H4:H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B1:P92"/>
  <sheetViews>
    <sheetView topLeftCell="C19"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1406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6" ht="7.5" customHeight="1" thickBot="1" x14ac:dyDescent="0.25"/>
    <row r="2" spans="2:16" s="64" customFormat="1" ht="20.100000000000001" customHeight="1" thickTop="1" thickBot="1" x14ac:dyDescent="0.25">
      <c r="B2" s="649" t="s">
        <v>456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6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6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0" t="s">
        <v>808</v>
      </c>
      <c r="K4" s="653" t="s">
        <v>813</v>
      </c>
      <c r="L4" s="654"/>
      <c r="M4" s="655"/>
      <c r="N4" s="665" t="s">
        <v>65</v>
      </c>
    </row>
    <row r="5" spans="2:16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71"/>
      <c r="K5" s="265" t="s">
        <v>289</v>
      </c>
      <c r="L5" s="159" t="s">
        <v>290</v>
      </c>
      <c r="M5" s="468" t="s">
        <v>291</v>
      </c>
      <c r="N5" s="666"/>
    </row>
    <row r="6" spans="2:16" s="2" customFormat="1" ht="11.2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232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6" s="2" customFormat="1" ht="12.95" customHeight="1" x14ac:dyDescent="0.25">
      <c r="B7" s="6" t="s">
        <v>457</v>
      </c>
      <c r="C7" s="7" t="s">
        <v>451</v>
      </c>
      <c r="D7" s="7" t="s">
        <v>452</v>
      </c>
      <c r="E7" s="286" t="s">
        <v>605</v>
      </c>
      <c r="F7" s="5"/>
      <c r="G7" s="5"/>
      <c r="H7" s="5"/>
      <c r="I7" s="55"/>
      <c r="J7" s="258"/>
      <c r="K7" s="4"/>
      <c r="L7" s="55"/>
      <c r="M7" s="506"/>
      <c r="N7" s="537"/>
    </row>
    <row r="8" spans="2:16" s="2" customFormat="1" ht="12.95" customHeight="1" x14ac:dyDescent="0.25">
      <c r="B8" s="6"/>
      <c r="C8" s="7"/>
      <c r="D8" s="7"/>
      <c r="E8" s="7"/>
      <c r="F8" s="121">
        <v>600000</v>
      </c>
      <c r="G8" s="135"/>
      <c r="H8" s="291" t="s">
        <v>295</v>
      </c>
      <c r="I8" s="269">
        <f t="shared" ref="I8:J8" si="0">I9+I10+I11</f>
        <v>645000</v>
      </c>
      <c r="J8" s="269">
        <f t="shared" si="0"/>
        <v>645000</v>
      </c>
      <c r="K8" s="321">
        <f t="shared" ref="K8" si="1">K9+K10+K11</f>
        <v>560000</v>
      </c>
      <c r="L8" s="117">
        <f>L9+L10+L11</f>
        <v>0</v>
      </c>
      <c r="M8" s="507">
        <f>M9+M10+M11</f>
        <v>560000</v>
      </c>
      <c r="N8" s="538">
        <f t="shared" ref="N8:N50" si="2">IF(J8=0,"",M8/J8*100)</f>
        <v>86.821705426356587</v>
      </c>
    </row>
    <row r="9" spans="2:16" s="2" customFormat="1" ht="12.95" customHeight="1" x14ac:dyDescent="0.2">
      <c r="B9" s="6"/>
      <c r="C9" s="7"/>
      <c r="D9" s="7"/>
      <c r="E9" s="7"/>
      <c r="F9" s="122">
        <v>600000</v>
      </c>
      <c r="G9" s="136"/>
      <c r="H9" s="292" t="s">
        <v>296</v>
      </c>
      <c r="I9" s="151">
        <v>600000</v>
      </c>
      <c r="J9" s="151">
        <v>600000</v>
      </c>
      <c r="K9" s="253">
        <v>500000</v>
      </c>
      <c r="L9" s="114">
        <v>0</v>
      </c>
      <c r="M9" s="508">
        <f t="shared" ref="M9:M11" si="3">SUM(K9:L9)</f>
        <v>500000</v>
      </c>
      <c r="N9" s="539">
        <f t="shared" si="2"/>
        <v>83.333333333333343</v>
      </c>
    </row>
    <row r="10" spans="2:16" s="2" customFormat="1" ht="12.95" customHeight="1" x14ac:dyDescent="0.2">
      <c r="B10" s="6"/>
      <c r="C10" s="7"/>
      <c r="D10" s="7"/>
      <c r="E10" s="7"/>
      <c r="F10" s="122">
        <v>600000</v>
      </c>
      <c r="G10" s="136"/>
      <c r="H10" s="292" t="s">
        <v>297</v>
      </c>
      <c r="I10" s="151">
        <v>30000</v>
      </c>
      <c r="J10" s="151">
        <v>30000</v>
      </c>
      <c r="K10" s="253">
        <v>40000</v>
      </c>
      <c r="L10" s="114">
        <v>0</v>
      </c>
      <c r="M10" s="508">
        <f t="shared" si="3"/>
        <v>40000</v>
      </c>
      <c r="N10" s="539">
        <f t="shared" si="2"/>
        <v>133.33333333333331</v>
      </c>
    </row>
    <row r="11" spans="2:16" s="2" customFormat="1" ht="12.95" customHeight="1" x14ac:dyDescent="0.2">
      <c r="B11" s="6"/>
      <c r="C11" s="7"/>
      <c r="D11" s="7"/>
      <c r="E11" s="7"/>
      <c r="F11" s="122">
        <v>600000</v>
      </c>
      <c r="G11" s="136"/>
      <c r="H11" s="292" t="s">
        <v>298</v>
      </c>
      <c r="I11" s="151">
        <v>15000</v>
      </c>
      <c r="J11" s="151">
        <v>15000</v>
      </c>
      <c r="K11" s="253">
        <v>20000</v>
      </c>
      <c r="L11" s="114">
        <v>0</v>
      </c>
      <c r="M11" s="508">
        <f t="shared" si="3"/>
        <v>20000</v>
      </c>
      <c r="N11" s="539">
        <f t="shared" si="2"/>
        <v>133.33333333333331</v>
      </c>
    </row>
    <row r="12" spans="2:16" s="2" customFormat="1" ht="8.1" customHeight="1" x14ac:dyDescent="0.25">
      <c r="B12" s="6"/>
      <c r="C12" s="7"/>
      <c r="D12" s="7"/>
      <c r="E12" s="7"/>
      <c r="F12" s="121"/>
      <c r="G12" s="136"/>
      <c r="H12" s="258"/>
      <c r="I12" s="153"/>
      <c r="J12" s="153"/>
      <c r="K12" s="319"/>
      <c r="L12" s="118"/>
      <c r="M12" s="509"/>
      <c r="N12" s="539" t="str">
        <f t="shared" si="2"/>
        <v/>
      </c>
    </row>
    <row r="13" spans="2:16" s="1" customFormat="1" ht="12.95" customHeight="1" x14ac:dyDescent="0.25">
      <c r="B13" s="12"/>
      <c r="C13" s="8"/>
      <c r="D13" s="8"/>
      <c r="E13" s="8"/>
      <c r="F13" s="121">
        <v>611000</v>
      </c>
      <c r="G13" s="135"/>
      <c r="H13" s="23" t="s">
        <v>300</v>
      </c>
      <c r="I13" s="153">
        <f t="shared" ref="I13:J13" si="4">SUM(I14:I17)</f>
        <v>297770</v>
      </c>
      <c r="J13" s="153">
        <f t="shared" si="4"/>
        <v>297770</v>
      </c>
      <c r="K13" s="319">
        <f t="shared" ref="K13" si="5">SUM(K14:K17)</f>
        <v>299710</v>
      </c>
      <c r="L13" s="100">
        <f>SUM(L14:L17)</f>
        <v>0</v>
      </c>
      <c r="M13" s="510">
        <f>SUM(M14:M17)</f>
        <v>299710</v>
      </c>
      <c r="N13" s="538">
        <f t="shared" si="2"/>
        <v>100.65150955435402</v>
      </c>
    </row>
    <row r="14" spans="2:16" ht="12.95" customHeight="1" x14ac:dyDescent="0.2">
      <c r="B14" s="10"/>
      <c r="C14" s="11"/>
      <c r="D14" s="11"/>
      <c r="E14" s="11"/>
      <c r="F14" s="122">
        <v>611100</v>
      </c>
      <c r="G14" s="136"/>
      <c r="H14" s="22" t="s">
        <v>301</v>
      </c>
      <c r="I14" s="151">
        <f>250270-2*2100+500</f>
        <v>246570</v>
      </c>
      <c r="J14" s="151">
        <f>250270-2*2100+500</f>
        <v>246570</v>
      </c>
      <c r="K14" s="253">
        <f>252300-1900*12+6300</f>
        <v>235800</v>
      </c>
      <c r="L14" s="99">
        <v>0</v>
      </c>
      <c r="M14" s="508">
        <f t="shared" ref="M14:M16" si="6">SUM(K14:L14)</f>
        <v>235800</v>
      </c>
      <c r="N14" s="539">
        <f t="shared" si="2"/>
        <v>95.63207202822727</v>
      </c>
    </row>
    <row r="15" spans="2:16" ht="12.95" customHeight="1" x14ac:dyDescent="0.2">
      <c r="B15" s="10"/>
      <c r="C15" s="11"/>
      <c r="D15" s="11"/>
      <c r="E15" s="11"/>
      <c r="F15" s="122">
        <v>611200</v>
      </c>
      <c r="G15" s="136"/>
      <c r="H15" s="22" t="s">
        <v>302</v>
      </c>
      <c r="I15" s="151">
        <f>40600+200+300+8*400</f>
        <v>44300</v>
      </c>
      <c r="J15" s="151">
        <f>40600+200+300+8*400</f>
        <v>44300</v>
      </c>
      <c r="K15" s="253">
        <f>36040</f>
        <v>36040</v>
      </c>
      <c r="L15" s="99">
        <v>0</v>
      </c>
      <c r="M15" s="508">
        <f t="shared" si="6"/>
        <v>36040</v>
      </c>
      <c r="N15" s="539">
        <f t="shared" si="2"/>
        <v>81.354401805869074</v>
      </c>
    </row>
    <row r="16" spans="2:16" ht="12.95" customHeight="1" x14ac:dyDescent="0.2">
      <c r="B16" s="10"/>
      <c r="C16" s="11"/>
      <c r="D16" s="11"/>
      <c r="E16" s="11"/>
      <c r="F16" s="122">
        <v>611200</v>
      </c>
      <c r="G16" s="136" t="s">
        <v>304</v>
      </c>
      <c r="H16" s="293" t="s">
        <v>824</v>
      </c>
      <c r="I16" s="151">
        <v>6900</v>
      </c>
      <c r="J16" s="151">
        <v>6900</v>
      </c>
      <c r="K16" s="253">
        <v>27870</v>
      </c>
      <c r="L16" s="99">
        <v>0</v>
      </c>
      <c r="M16" s="508">
        <f t="shared" si="6"/>
        <v>27870</v>
      </c>
      <c r="N16" s="539">
        <f t="shared" si="2"/>
        <v>403.91304347826093</v>
      </c>
      <c r="P16" s="43"/>
    </row>
    <row r="17" spans="2:14" ht="8.1" customHeight="1" x14ac:dyDescent="0.25">
      <c r="B17" s="10"/>
      <c r="C17" s="11"/>
      <c r="D17" s="11"/>
      <c r="E17" s="11"/>
      <c r="F17" s="122"/>
      <c r="G17" s="136"/>
      <c r="H17" s="22"/>
      <c r="I17" s="153"/>
      <c r="J17" s="153"/>
      <c r="K17" s="319"/>
      <c r="L17" s="100"/>
      <c r="M17" s="510"/>
      <c r="N17" s="539" t="str">
        <f t="shared" si="2"/>
        <v/>
      </c>
    </row>
    <row r="18" spans="2:14" s="1" customFormat="1" ht="12.95" customHeight="1" x14ac:dyDescent="0.25">
      <c r="B18" s="12"/>
      <c r="C18" s="8"/>
      <c r="D18" s="8"/>
      <c r="E18" s="8"/>
      <c r="F18" s="121">
        <v>612000</v>
      </c>
      <c r="G18" s="136"/>
      <c r="H18" s="23" t="s">
        <v>305</v>
      </c>
      <c r="I18" s="153">
        <f t="shared" ref="I18:J18" si="7">I19+I20</f>
        <v>25970</v>
      </c>
      <c r="J18" s="153">
        <f t="shared" si="7"/>
        <v>25970</v>
      </c>
      <c r="K18" s="319">
        <f t="shared" ref="K18" si="8">K19+K20</f>
        <v>24950</v>
      </c>
      <c r="L18" s="100">
        <f>L19+L20</f>
        <v>0</v>
      </c>
      <c r="M18" s="510">
        <f>M19+M20</f>
        <v>24950</v>
      </c>
      <c r="N18" s="538">
        <f t="shared" si="2"/>
        <v>96.07239122063919</v>
      </c>
    </row>
    <row r="19" spans="2:14" ht="12.95" customHeight="1" x14ac:dyDescent="0.2">
      <c r="B19" s="10"/>
      <c r="C19" s="11"/>
      <c r="D19" s="11"/>
      <c r="E19" s="11"/>
      <c r="F19" s="122">
        <v>612100</v>
      </c>
      <c r="G19" s="136"/>
      <c r="H19" s="294" t="s">
        <v>306</v>
      </c>
      <c r="I19" s="151">
        <f>26300-2*200+70</f>
        <v>25970</v>
      </c>
      <c r="J19" s="151">
        <f>26300-2*200+70</f>
        <v>25970</v>
      </c>
      <c r="K19" s="253">
        <f>26650-200*12+700</f>
        <v>24950</v>
      </c>
      <c r="L19" s="99">
        <v>0</v>
      </c>
      <c r="M19" s="508">
        <f>SUM(K19:L19)</f>
        <v>24950</v>
      </c>
      <c r="N19" s="539">
        <f t="shared" si="2"/>
        <v>96.07239122063919</v>
      </c>
    </row>
    <row r="20" spans="2:14" ht="8.1" customHeight="1" x14ac:dyDescent="0.2">
      <c r="B20" s="10"/>
      <c r="C20" s="11"/>
      <c r="D20" s="11"/>
      <c r="E20" s="11"/>
      <c r="F20" s="122"/>
      <c r="G20" s="136"/>
      <c r="H20" s="22"/>
      <c r="I20" s="151"/>
      <c r="J20" s="151"/>
      <c r="K20" s="253"/>
      <c r="L20" s="114"/>
      <c r="M20" s="508"/>
      <c r="N20" s="539" t="str">
        <f t="shared" si="2"/>
        <v/>
      </c>
    </row>
    <row r="21" spans="2:14" s="1" customFormat="1" ht="12.95" customHeight="1" x14ac:dyDescent="0.25">
      <c r="B21" s="12"/>
      <c r="C21" s="8"/>
      <c r="D21" s="8"/>
      <c r="E21" s="8"/>
      <c r="F21" s="121">
        <v>613000</v>
      </c>
      <c r="G21" s="136"/>
      <c r="H21" s="23" t="s">
        <v>309</v>
      </c>
      <c r="I21" s="153">
        <f t="shared" ref="I21:J21" si="9">SUM(I22:I32)</f>
        <v>312100</v>
      </c>
      <c r="J21" s="153">
        <f t="shared" si="9"/>
        <v>312100</v>
      </c>
      <c r="K21" s="320">
        <f t="shared" ref="K21" si="10">SUM(K22:K32)</f>
        <v>328100</v>
      </c>
      <c r="L21" s="115">
        <f t="shared" ref="L21:M21" si="11">SUM(L22:L32)</f>
        <v>0</v>
      </c>
      <c r="M21" s="509">
        <f t="shared" si="11"/>
        <v>328100</v>
      </c>
      <c r="N21" s="538">
        <f t="shared" si="2"/>
        <v>105.12656199935917</v>
      </c>
    </row>
    <row r="22" spans="2:14" ht="12.95" customHeight="1" x14ac:dyDescent="0.2">
      <c r="B22" s="10"/>
      <c r="C22" s="11"/>
      <c r="D22" s="11"/>
      <c r="E22" s="11"/>
      <c r="F22" s="122">
        <v>613100</v>
      </c>
      <c r="G22" s="136"/>
      <c r="H22" s="22" t="s">
        <v>310</v>
      </c>
      <c r="I22" s="151">
        <v>9500</v>
      </c>
      <c r="J22" s="151">
        <v>9500</v>
      </c>
      <c r="K22" s="253">
        <v>9500</v>
      </c>
      <c r="L22" s="114">
        <v>0</v>
      </c>
      <c r="M22" s="508">
        <f t="shared" ref="M22:M32" si="12">SUM(K22:L22)</f>
        <v>9500</v>
      </c>
      <c r="N22" s="539">
        <f t="shared" si="2"/>
        <v>100</v>
      </c>
    </row>
    <row r="23" spans="2:14" ht="12.95" customHeight="1" x14ac:dyDescent="0.2">
      <c r="B23" s="10"/>
      <c r="C23" s="11"/>
      <c r="D23" s="11"/>
      <c r="E23" s="11"/>
      <c r="F23" s="122">
        <v>613200</v>
      </c>
      <c r="G23" s="136"/>
      <c r="H23" s="22" t="s">
        <v>311</v>
      </c>
      <c r="I23" s="151">
        <v>0</v>
      </c>
      <c r="J23" s="151">
        <v>0</v>
      </c>
      <c r="K23" s="253">
        <v>0</v>
      </c>
      <c r="L23" s="114">
        <v>0</v>
      </c>
      <c r="M23" s="508">
        <f t="shared" si="12"/>
        <v>0</v>
      </c>
      <c r="N23" s="539" t="str">
        <f t="shared" si="2"/>
        <v/>
      </c>
    </row>
    <row r="24" spans="2:14" ht="12.95" customHeight="1" x14ac:dyDescent="0.2">
      <c r="B24" s="10"/>
      <c r="C24" s="11"/>
      <c r="D24" s="11"/>
      <c r="E24" s="11"/>
      <c r="F24" s="122">
        <v>613300</v>
      </c>
      <c r="G24" s="136"/>
      <c r="H24" s="22" t="s">
        <v>312</v>
      </c>
      <c r="I24" s="151">
        <v>7500</v>
      </c>
      <c r="J24" s="151">
        <v>7500</v>
      </c>
      <c r="K24" s="253">
        <v>7500</v>
      </c>
      <c r="L24" s="114">
        <v>0</v>
      </c>
      <c r="M24" s="508">
        <f t="shared" si="12"/>
        <v>7500</v>
      </c>
      <c r="N24" s="539">
        <f t="shared" si="2"/>
        <v>100</v>
      </c>
    </row>
    <row r="25" spans="2:14" ht="12.95" customHeight="1" x14ac:dyDescent="0.2">
      <c r="B25" s="10"/>
      <c r="C25" s="11"/>
      <c r="D25" s="11"/>
      <c r="E25" s="11"/>
      <c r="F25" s="122">
        <v>613400</v>
      </c>
      <c r="G25" s="136"/>
      <c r="H25" s="22" t="s">
        <v>313</v>
      </c>
      <c r="I25" s="151">
        <v>3000</v>
      </c>
      <c r="J25" s="151">
        <v>3000</v>
      </c>
      <c r="K25" s="253">
        <v>1500</v>
      </c>
      <c r="L25" s="114">
        <v>0</v>
      </c>
      <c r="M25" s="508">
        <f t="shared" si="12"/>
        <v>1500</v>
      </c>
      <c r="N25" s="539">
        <f t="shared" si="2"/>
        <v>50</v>
      </c>
    </row>
    <row r="26" spans="2:14" ht="12.95" customHeight="1" x14ac:dyDescent="0.2">
      <c r="B26" s="10"/>
      <c r="C26" s="11"/>
      <c r="D26" s="11"/>
      <c r="E26" s="11"/>
      <c r="F26" s="122">
        <v>613500</v>
      </c>
      <c r="G26" s="136"/>
      <c r="H26" s="22" t="s">
        <v>316</v>
      </c>
      <c r="I26" s="154">
        <v>1000</v>
      </c>
      <c r="J26" s="154">
        <v>1000</v>
      </c>
      <c r="K26" s="254">
        <v>2000</v>
      </c>
      <c r="L26" s="116">
        <v>0</v>
      </c>
      <c r="M26" s="508">
        <f t="shared" si="12"/>
        <v>2000</v>
      </c>
      <c r="N26" s="539">
        <f t="shared" si="2"/>
        <v>200</v>
      </c>
    </row>
    <row r="27" spans="2:14" ht="12.95" customHeight="1" x14ac:dyDescent="0.2">
      <c r="B27" s="10"/>
      <c r="C27" s="11"/>
      <c r="D27" s="11"/>
      <c r="E27" s="11"/>
      <c r="F27" s="122">
        <v>613600</v>
      </c>
      <c r="G27" s="136"/>
      <c r="H27" s="22" t="s">
        <v>317</v>
      </c>
      <c r="I27" s="151">
        <v>600</v>
      </c>
      <c r="J27" s="151">
        <v>600</v>
      </c>
      <c r="K27" s="253">
        <v>1200</v>
      </c>
      <c r="L27" s="114">
        <v>0</v>
      </c>
      <c r="M27" s="508">
        <f t="shared" si="12"/>
        <v>1200</v>
      </c>
      <c r="N27" s="539">
        <f t="shared" si="2"/>
        <v>200</v>
      </c>
    </row>
    <row r="28" spans="2:14" ht="12.95" customHeight="1" x14ac:dyDescent="0.2">
      <c r="B28" s="10"/>
      <c r="C28" s="11"/>
      <c r="D28" s="11"/>
      <c r="E28" s="11"/>
      <c r="F28" s="122">
        <v>613700</v>
      </c>
      <c r="G28" s="136"/>
      <c r="H28" s="22" t="s">
        <v>318</v>
      </c>
      <c r="I28" s="151">
        <v>3000</v>
      </c>
      <c r="J28" s="151">
        <v>3000</v>
      </c>
      <c r="K28" s="253">
        <v>6000</v>
      </c>
      <c r="L28" s="114">
        <v>0</v>
      </c>
      <c r="M28" s="508">
        <f t="shared" si="12"/>
        <v>6000</v>
      </c>
      <c r="N28" s="539">
        <f t="shared" si="2"/>
        <v>200</v>
      </c>
    </row>
    <row r="29" spans="2:14" ht="12.95" customHeight="1" x14ac:dyDescent="0.2">
      <c r="B29" s="10"/>
      <c r="C29" s="11"/>
      <c r="D29" s="11"/>
      <c r="E29" s="11"/>
      <c r="F29" s="122">
        <v>613800</v>
      </c>
      <c r="G29" s="136"/>
      <c r="H29" s="22" t="s">
        <v>322</v>
      </c>
      <c r="I29" s="151">
        <v>100</v>
      </c>
      <c r="J29" s="151">
        <v>100</v>
      </c>
      <c r="K29" s="253">
        <v>400</v>
      </c>
      <c r="L29" s="114">
        <v>0</v>
      </c>
      <c r="M29" s="508">
        <f t="shared" si="12"/>
        <v>400</v>
      </c>
      <c r="N29" s="539">
        <f t="shared" si="2"/>
        <v>400</v>
      </c>
    </row>
    <row r="30" spans="2:14" ht="12.95" customHeight="1" x14ac:dyDescent="0.2">
      <c r="B30" s="10"/>
      <c r="C30" s="11"/>
      <c r="D30" s="11"/>
      <c r="E30" s="11"/>
      <c r="F30" s="122">
        <v>613900</v>
      </c>
      <c r="G30" s="136"/>
      <c r="H30" s="22" t="s">
        <v>325</v>
      </c>
      <c r="I30" s="151">
        <v>190000</v>
      </c>
      <c r="J30" s="151">
        <v>190000</v>
      </c>
      <c r="K30" s="253">
        <v>200000</v>
      </c>
      <c r="L30" s="114">
        <v>0</v>
      </c>
      <c r="M30" s="508">
        <f t="shared" si="12"/>
        <v>200000</v>
      </c>
      <c r="N30" s="539">
        <f t="shared" si="2"/>
        <v>105.26315789473684</v>
      </c>
    </row>
    <row r="31" spans="2:14" ht="12.95" customHeight="1" x14ac:dyDescent="0.2">
      <c r="B31" s="10"/>
      <c r="C31" s="11"/>
      <c r="D31" s="11"/>
      <c r="E31" s="11"/>
      <c r="F31" s="122">
        <v>613900</v>
      </c>
      <c r="G31" s="136" t="s">
        <v>304</v>
      </c>
      <c r="H31" s="293" t="s">
        <v>892</v>
      </c>
      <c r="I31" s="151">
        <v>7400</v>
      </c>
      <c r="J31" s="151">
        <v>7400</v>
      </c>
      <c r="K31" s="253">
        <v>10000</v>
      </c>
      <c r="L31" s="114">
        <v>0</v>
      </c>
      <c r="M31" s="508">
        <f t="shared" ref="M31" si="13">SUM(K31:L31)</f>
        <v>10000</v>
      </c>
      <c r="N31" s="539">
        <f t="shared" si="2"/>
        <v>135.13513513513513</v>
      </c>
    </row>
    <row r="32" spans="2:14" ht="12.95" customHeight="1" x14ac:dyDescent="0.2">
      <c r="B32" s="10"/>
      <c r="C32" s="11"/>
      <c r="D32" s="11"/>
      <c r="E32" s="11"/>
      <c r="F32" s="122">
        <v>613900</v>
      </c>
      <c r="G32" s="136" t="s">
        <v>335</v>
      </c>
      <c r="H32" s="293" t="s">
        <v>458</v>
      </c>
      <c r="I32" s="151">
        <v>90000</v>
      </c>
      <c r="J32" s="151">
        <v>90000</v>
      </c>
      <c r="K32" s="253">
        <v>90000</v>
      </c>
      <c r="L32" s="114">
        <v>0</v>
      </c>
      <c r="M32" s="508">
        <f t="shared" si="12"/>
        <v>90000</v>
      </c>
      <c r="N32" s="539">
        <f t="shared" si="2"/>
        <v>100</v>
      </c>
    </row>
    <row r="33" spans="2:14" ht="8.1" customHeight="1" x14ac:dyDescent="0.2">
      <c r="B33" s="10"/>
      <c r="C33" s="11"/>
      <c r="D33" s="11"/>
      <c r="E33" s="11"/>
      <c r="F33" s="122"/>
      <c r="G33" s="136"/>
      <c r="H33" s="22"/>
      <c r="I33" s="151"/>
      <c r="J33" s="151"/>
      <c r="K33" s="253"/>
      <c r="L33" s="114"/>
      <c r="M33" s="508"/>
      <c r="N33" s="539" t="str">
        <f t="shared" si="2"/>
        <v/>
      </c>
    </row>
    <row r="34" spans="2:14" s="1" customFormat="1" ht="12.95" customHeight="1" x14ac:dyDescent="0.25">
      <c r="B34" s="12"/>
      <c r="C34" s="8"/>
      <c r="D34" s="8"/>
      <c r="E34" s="8"/>
      <c r="F34" s="121">
        <v>614000</v>
      </c>
      <c r="G34" s="136"/>
      <c r="H34" s="23" t="s">
        <v>339</v>
      </c>
      <c r="I34" s="153">
        <f>SUM(I35:I40)</f>
        <v>575000</v>
      </c>
      <c r="J34" s="153">
        <f>SUM(J35:J40)</f>
        <v>575000</v>
      </c>
      <c r="K34" s="319">
        <f>SUM(K35:K40)</f>
        <v>780000</v>
      </c>
      <c r="L34" s="118">
        <f>SUM(L35:L40)</f>
        <v>0</v>
      </c>
      <c r="M34" s="509">
        <f>SUM(M35:M40)</f>
        <v>780000</v>
      </c>
      <c r="N34" s="538">
        <f t="shared" si="2"/>
        <v>135.65217391304347</v>
      </c>
    </row>
    <row r="35" spans="2:14" s="46" customFormat="1" ht="12.95" customHeight="1" x14ac:dyDescent="0.2">
      <c r="B35" s="47"/>
      <c r="C35" s="13"/>
      <c r="D35" s="13"/>
      <c r="E35" s="13"/>
      <c r="F35" s="122">
        <v>614100</v>
      </c>
      <c r="G35" s="136" t="s">
        <v>341</v>
      </c>
      <c r="H35" s="294" t="s">
        <v>459</v>
      </c>
      <c r="I35" s="154">
        <v>200000</v>
      </c>
      <c r="J35" s="154">
        <v>200000</v>
      </c>
      <c r="K35" s="254">
        <f>300000+50000</f>
        <v>350000</v>
      </c>
      <c r="L35" s="149">
        <v>0</v>
      </c>
      <c r="M35" s="508">
        <f t="shared" ref="M35:M39" si="14">SUM(K35:L35)</f>
        <v>350000</v>
      </c>
      <c r="N35" s="539">
        <f t="shared" si="2"/>
        <v>175</v>
      </c>
    </row>
    <row r="36" spans="2:14" ht="12.95" customHeight="1" x14ac:dyDescent="0.2">
      <c r="B36" s="10"/>
      <c r="C36" s="11"/>
      <c r="D36" s="11"/>
      <c r="E36" s="11"/>
      <c r="F36" s="122">
        <v>614300</v>
      </c>
      <c r="G36" s="136" t="s">
        <v>379</v>
      </c>
      <c r="H36" s="302" t="s">
        <v>460</v>
      </c>
      <c r="I36" s="154">
        <v>80000</v>
      </c>
      <c r="J36" s="154">
        <v>80000</v>
      </c>
      <c r="K36" s="254">
        <v>80000</v>
      </c>
      <c r="L36" s="149">
        <v>0</v>
      </c>
      <c r="M36" s="508">
        <f t="shared" si="14"/>
        <v>80000</v>
      </c>
      <c r="N36" s="539">
        <f t="shared" si="2"/>
        <v>100</v>
      </c>
    </row>
    <row r="37" spans="2:14" ht="12.95" customHeight="1" x14ac:dyDescent="0.2">
      <c r="B37" s="10"/>
      <c r="C37" s="11"/>
      <c r="D37" s="11"/>
      <c r="E37" s="11"/>
      <c r="F37" s="122">
        <v>614300</v>
      </c>
      <c r="G37" s="136" t="s">
        <v>381</v>
      </c>
      <c r="H37" s="22" t="s">
        <v>461</v>
      </c>
      <c r="I37" s="154">
        <v>35000</v>
      </c>
      <c r="J37" s="154">
        <v>35000</v>
      </c>
      <c r="K37" s="254">
        <v>40000</v>
      </c>
      <c r="L37" s="149">
        <v>0</v>
      </c>
      <c r="M37" s="508">
        <f t="shared" si="14"/>
        <v>40000</v>
      </c>
      <c r="N37" s="539">
        <f t="shared" si="2"/>
        <v>114.28571428571428</v>
      </c>
    </row>
    <row r="38" spans="2:14" ht="12.95" customHeight="1" x14ac:dyDescent="0.2">
      <c r="B38" s="10"/>
      <c r="C38" s="11"/>
      <c r="D38" s="11"/>
      <c r="E38" s="11"/>
      <c r="F38" s="122">
        <v>614300</v>
      </c>
      <c r="G38" s="136" t="s">
        <v>383</v>
      </c>
      <c r="H38" s="22" t="s">
        <v>462</v>
      </c>
      <c r="I38" s="154">
        <v>40000</v>
      </c>
      <c r="J38" s="154">
        <v>40000</v>
      </c>
      <c r="K38" s="254">
        <v>40000</v>
      </c>
      <c r="L38" s="149">
        <v>0</v>
      </c>
      <c r="M38" s="508">
        <f t="shared" si="14"/>
        <v>40000</v>
      </c>
      <c r="N38" s="539">
        <f t="shared" si="2"/>
        <v>100</v>
      </c>
    </row>
    <row r="39" spans="2:14" ht="12.95" customHeight="1" x14ac:dyDescent="0.2">
      <c r="B39" s="10"/>
      <c r="C39" s="11"/>
      <c r="D39" s="11"/>
      <c r="E39" s="11"/>
      <c r="F39" s="122">
        <v>614300</v>
      </c>
      <c r="G39" s="136" t="s">
        <v>375</v>
      </c>
      <c r="H39" s="293" t="s">
        <v>463</v>
      </c>
      <c r="I39" s="154">
        <v>150000</v>
      </c>
      <c r="J39" s="154">
        <v>150000</v>
      </c>
      <c r="K39" s="254">
        <v>150000</v>
      </c>
      <c r="L39" s="149">
        <v>0</v>
      </c>
      <c r="M39" s="508">
        <f t="shared" si="14"/>
        <v>150000</v>
      </c>
      <c r="N39" s="539">
        <f t="shared" si="2"/>
        <v>100</v>
      </c>
    </row>
    <row r="40" spans="2:14" ht="12.95" customHeight="1" x14ac:dyDescent="0.2">
      <c r="B40" s="10"/>
      <c r="C40" s="11"/>
      <c r="D40" s="11"/>
      <c r="E40" s="11"/>
      <c r="F40" s="122">
        <v>614300</v>
      </c>
      <c r="G40" s="136" t="s">
        <v>377</v>
      </c>
      <c r="H40" s="293" t="s">
        <v>464</v>
      </c>
      <c r="I40" s="154">
        <v>70000</v>
      </c>
      <c r="J40" s="154">
        <v>70000</v>
      </c>
      <c r="K40" s="254">
        <f>70000+50000</f>
        <v>120000</v>
      </c>
      <c r="L40" s="149">
        <v>0</v>
      </c>
      <c r="M40" s="508">
        <f t="shared" ref="M40" si="15">SUM(K40:L40)</f>
        <v>120000</v>
      </c>
      <c r="N40" s="539">
        <f t="shared" ref="N40" si="16">IF(J40=0,"",M40/J40*100)</f>
        <v>171.42857142857142</v>
      </c>
    </row>
    <row r="41" spans="2:14" ht="8.1" customHeight="1" x14ac:dyDescent="0.2">
      <c r="B41" s="10"/>
      <c r="C41" s="11"/>
      <c r="D41" s="11"/>
      <c r="E41" s="11"/>
      <c r="F41" s="122"/>
      <c r="G41" s="136"/>
      <c r="H41" s="22"/>
      <c r="I41" s="154"/>
      <c r="J41" s="154"/>
      <c r="K41" s="254"/>
      <c r="L41" s="116"/>
      <c r="M41" s="508"/>
      <c r="N41" s="539" t="str">
        <f t="shared" si="2"/>
        <v/>
      </c>
    </row>
    <row r="42" spans="2:14" ht="12.95" customHeight="1" x14ac:dyDescent="0.25">
      <c r="B42" s="10"/>
      <c r="C42" s="11"/>
      <c r="D42" s="11"/>
      <c r="E42" s="11"/>
      <c r="F42" s="121">
        <v>615000</v>
      </c>
      <c r="G42" s="136"/>
      <c r="H42" s="23" t="s">
        <v>410</v>
      </c>
      <c r="I42" s="153">
        <f t="shared" ref="I42:J42" si="17">I43</f>
        <v>0</v>
      </c>
      <c r="J42" s="153">
        <f t="shared" si="17"/>
        <v>0</v>
      </c>
      <c r="K42" s="319">
        <f t="shared" ref="K42" si="18">K43</f>
        <v>10000</v>
      </c>
      <c r="L42" s="118">
        <f>L43</f>
        <v>0</v>
      </c>
      <c r="M42" s="509">
        <f>M43</f>
        <v>10000</v>
      </c>
      <c r="N42" s="538" t="str">
        <f t="shared" si="2"/>
        <v/>
      </c>
    </row>
    <row r="43" spans="2:14" ht="12.95" customHeight="1" x14ac:dyDescent="0.2">
      <c r="B43" s="10"/>
      <c r="C43" s="11"/>
      <c r="D43" s="11"/>
      <c r="E43" s="11"/>
      <c r="F43" s="122">
        <v>615100</v>
      </c>
      <c r="G43" s="136"/>
      <c r="H43" s="294" t="s">
        <v>412</v>
      </c>
      <c r="I43" s="154">
        <v>0</v>
      </c>
      <c r="J43" s="154">
        <v>0</v>
      </c>
      <c r="K43" s="254">
        <v>10000</v>
      </c>
      <c r="L43" s="116">
        <v>0</v>
      </c>
      <c r="M43" s="508">
        <f>SUM(K43:L43)</f>
        <v>10000</v>
      </c>
      <c r="N43" s="539" t="str">
        <f t="shared" si="2"/>
        <v/>
      </c>
    </row>
    <row r="44" spans="2:14" ht="8.1" customHeight="1" x14ac:dyDescent="0.2">
      <c r="B44" s="10"/>
      <c r="C44" s="11"/>
      <c r="D44" s="11"/>
      <c r="E44" s="11"/>
      <c r="F44" s="122"/>
      <c r="G44" s="136"/>
      <c r="H44" s="22"/>
      <c r="I44" s="151"/>
      <c r="J44" s="151"/>
      <c r="K44" s="253"/>
      <c r="L44" s="114"/>
      <c r="M44" s="508"/>
      <c r="N44" s="539" t="str">
        <f t="shared" si="2"/>
        <v/>
      </c>
    </row>
    <row r="45" spans="2:14" ht="12.95" customHeight="1" x14ac:dyDescent="0.25">
      <c r="B45" s="12"/>
      <c r="C45" s="8"/>
      <c r="D45" s="8"/>
      <c r="E45" s="8"/>
      <c r="F45" s="121">
        <v>821000</v>
      </c>
      <c r="G45" s="136"/>
      <c r="H45" s="23" t="s">
        <v>427</v>
      </c>
      <c r="I45" s="153">
        <f t="shared" ref="I45:J45" si="19">SUM(I46:I49)</f>
        <v>1504620</v>
      </c>
      <c r="J45" s="153">
        <f t="shared" si="19"/>
        <v>1504620</v>
      </c>
      <c r="K45" s="319">
        <f t="shared" ref="K45:M45" si="20">SUM(K46:K49)</f>
        <v>1250000</v>
      </c>
      <c r="L45" s="14">
        <f t="shared" si="20"/>
        <v>0</v>
      </c>
      <c r="M45" s="476">
        <f t="shared" si="20"/>
        <v>1250000</v>
      </c>
      <c r="N45" s="538">
        <f t="shared" si="2"/>
        <v>83.077454772633615</v>
      </c>
    </row>
    <row r="46" spans="2:14" ht="12.95" customHeight="1" x14ac:dyDescent="0.2">
      <c r="B46" s="10"/>
      <c r="C46" s="11"/>
      <c r="D46" s="11"/>
      <c r="E46" s="11"/>
      <c r="F46" s="122">
        <v>821100</v>
      </c>
      <c r="G46" s="136"/>
      <c r="H46" s="293" t="s">
        <v>428</v>
      </c>
      <c r="I46" s="151">
        <v>0</v>
      </c>
      <c r="J46" s="151">
        <v>0</v>
      </c>
      <c r="K46" s="253">
        <v>0</v>
      </c>
      <c r="L46" s="27">
        <v>0</v>
      </c>
      <c r="M46" s="508">
        <f t="shared" ref="M46" si="21">SUM(K46:L46)</f>
        <v>0</v>
      </c>
      <c r="N46" s="539" t="str">
        <f t="shared" ref="N46" si="22">IF(J46=0,"",M46/J46*100)</f>
        <v/>
      </c>
    </row>
    <row r="47" spans="2:14" ht="12.95" customHeight="1" x14ac:dyDescent="0.2">
      <c r="B47" s="10"/>
      <c r="C47" s="11"/>
      <c r="D47" s="11"/>
      <c r="E47" s="11"/>
      <c r="F47" s="122">
        <v>821200</v>
      </c>
      <c r="G47" s="136"/>
      <c r="H47" s="22" t="s">
        <v>429</v>
      </c>
      <c r="I47" s="151">
        <v>1434620</v>
      </c>
      <c r="J47" s="151">
        <v>1434620</v>
      </c>
      <c r="K47" s="253">
        <f>900000+300000</f>
        <v>1200000</v>
      </c>
      <c r="L47" s="27">
        <v>0</v>
      </c>
      <c r="M47" s="508">
        <f t="shared" ref="M47:M49" si="23">SUM(K47:L47)</f>
        <v>1200000</v>
      </c>
      <c r="N47" s="539">
        <f t="shared" si="2"/>
        <v>83.645843498626817</v>
      </c>
    </row>
    <row r="48" spans="2:14" ht="12.95" customHeight="1" x14ac:dyDescent="0.2">
      <c r="B48" s="10"/>
      <c r="C48" s="11"/>
      <c r="D48" s="11"/>
      <c r="E48" s="11"/>
      <c r="F48" s="122">
        <v>821300</v>
      </c>
      <c r="G48" s="136"/>
      <c r="H48" s="22" t="s">
        <v>430</v>
      </c>
      <c r="I48" s="154">
        <v>30000</v>
      </c>
      <c r="J48" s="154">
        <v>30000</v>
      </c>
      <c r="K48" s="254">
        <v>20000</v>
      </c>
      <c r="L48" s="28">
        <v>0</v>
      </c>
      <c r="M48" s="508">
        <f t="shared" si="23"/>
        <v>20000</v>
      </c>
      <c r="N48" s="539">
        <f t="shared" si="2"/>
        <v>66.666666666666657</v>
      </c>
    </row>
    <row r="49" spans="2:16" ht="12.95" customHeight="1" x14ac:dyDescent="0.2">
      <c r="B49" s="10"/>
      <c r="C49" s="11"/>
      <c r="D49" s="11"/>
      <c r="E49" s="11"/>
      <c r="F49" s="122">
        <v>821500</v>
      </c>
      <c r="G49" s="136"/>
      <c r="H49" s="22" t="s">
        <v>433</v>
      </c>
      <c r="I49" s="151">
        <v>40000</v>
      </c>
      <c r="J49" s="151">
        <v>40000</v>
      </c>
      <c r="K49" s="253">
        <v>30000</v>
      </c>
      <c r="L49" s="553">
        <v>0</v>
      </c>
      <c r="M49" s="508">
        <f t="shared" si="23"/>
        <v>30000</v>
      </c>
      <c r="N49" s="539">
        <f t="shared" si="2"/>
        <v>75</v>
      </c>
    </row>
    <row r="50" spans="2:16" s="1" customFormat="1" ht="8.1" customHeight="1" x14ac:dyDescent="0.25">
      <c r="B50" s="10"/>
      <c r="C50" s="11"/>
      <c r="D50" s="11"/>
      <c r="E50" s="11"/>
      <c r="F50" s="122"/>
      <c r="G50" s="136"/>
      <c r="H50" s="22"/>
      <c r="I50" s="153"/>
      <c r="J50" s="153"/>
      <c r="K50" s="319"/>
      <c r="L50" s="14"/>
      <c r="M50" s="476"/>
      <c r="N50" s="539" t="str">
        <f t="shared" si="2"/>
        <v/>
      </c>
    </row>
    <row r="51" spans="2:16" ht="12.95" customHeight="1" x14ac:dyDescent="0.25">
      <c r="B51" s="12"/>
      <c r="C51" s="8"/>
      <c r="D51" s="8"/>
      <c r="E51" s="8"/>
      <c r="F51" s="121"/>
      <c r="G51" s="136"/>
      <c r="H51" s="23" t="s">
        <v>441</v>
      </c>
      <c r="I51" s="153">
        <v>8</v>
      </c>
      <c r="J51" s="153">
        <v>8</v>
      </c>
      <c r="K51" s="319">
        <v>7</v>
      </c>
      <c r="L51" s="14"/>
      <c r="M51" s="476">
        <v>7</v>
      </c>
      <c r="N51" s="539"/>
    </row>
    <row r="52" spans="2:16" ht="12.95" customHeight="1" x14ac:dyDescent="0.25">
      <c r="B52" s="12"/>
      <c r="C52" s="8"/>
      <c r="D52" s="8"/>
      <c r="E52" s="8"/>
      <c r="F52" s="121"/>
      <c r="G52" s="136"/>
      <c r="H52" s="23" t="s">
        <v>453</v>
      </c>
      <c r="I52" s="14">
        <f>I8+I13+I18+I21+I34+I42+I45</f>
        <v>3360460</v>
      </c>
      <c r="J52" s="259">
        <f>J8+J13+J18+J21+J34+J42+J45</f>
        <v>3360460</v>
      </c>
      <c r="K52" s="262">
        <f>K8+K13+K18+K21+K34+K42+K45</f>
        <v>3252760</v>
      </c>
      <c r="L52" s="14">
        <f>L8+L13+L18+L21+L34+L42+L45</f>
        <v>0</v>
      </c>
      <c r="M52" s="476">
        <f>M8+M13+M18+M21+M34+M42+M45</f>
        <v>3252760</v>
      </c>
      <c r="N52" s="538">
        <f>IF(J52=0,"",M52/J52*100)</f>
        <v>96.795081625729807</v>
      </c>
      <c r="P52" s="44"/>
    </row>
    <row r="53" spans="2:16" ht="12.95" customHeight="1" x14ac:dyDescent="0.2">
      <c r="B53" s="12"/>
      <c r="C53" s="8"/>
      <c r="D53" s="8"/>
      <c r="E53" s="8"/>
      <c r="F53" s="121"/>
      <c r="G53" s="136"/>
      <c r="H53" s="8" t="s">
        <v>454</v>
      </c>
      <c r="I53" s="11"/>
      <c r="J53" s="22"/>
      <c r="K53" s="10"/>
      <c r="L53" s="11"/>
      <c r="M53" s="511"/>
      <c r="N53" s="539"/>
    </row>
    <row r="54" spans="2:16" ht="12.95" customHeight="1" x14ac:dyDescent="0.2">
      <c r="B54" s="12"/>
      <c r="C54" s="8"/>
      <c r="D54" s="8"/>
      <c r="E54" s="8"/>
      <c r="F54" s="121"/>
      <c r="G54" s="136"/>
      <c r="H54" s="8" t="s">
        <v>455</v>
      </c>
      <c r="I54" s="11"/>
      <c r="J54" s="22"/>
      <c r="K54" s="10"/>
      <c r="L54" s="11"/>
      <c r="M54" s="511"/>
      <c r="N54" s="539"/>
    </row>
    <row r="55" spans="2:16" s="1" customFormat="1" ht="8.1" customHeight="1" thickBot="1" x14ac:dyDescent="0.25">
      <c r="B55" s="15"/>
      <c r="C55" s="16"/>
      <c r="D55" s="16"/>
      <c r="E55" s="16"/>
      <c r="F55" s="123"/>
      <c r="G55" s="137"/>
      <c r="H55" s="16"/>
      <c r="I55" s="16"/>
      <c r="J55" s="25"/>
      <c r="K55" s="15"/>
      <c r="L55" s="16"/>
      <c r="M55" s="496"/>
      <c r="N55" s="540"/>
    </row>
    <row r="56" spans="2:16" s="1" customFormat="1" ht="15.95" customHeight="1" x14ac:dyDescent="0.2">
      <c r="B56" s="9"/>
      <c r="C56" s="9"/>
      <c r="D56" s="9"/>
      <c r="E56" s="9"/>
      <c r="F56" s="124"/>
      <c r="G56" s="138"/>
      <c r="H56" s="9"/>
      <c r="I56" s="9"/>
      <c r="J56" s="9"/>
      <c r="K56" s="9"/>
      <c r="L56" s="9"/>
      <c r="M56" s="162"/>
      <c r="N56" s="145"/>
    </row>
    <row r="57" spans="2:16" s="1" customFormat="1" ht="15.95" customHeight="1" x14ac:dyDescent="0.2">
      <c r="B57" s="9"/>
      <c r="C57" s="9"/>
      <c r="D57" s="9"/>
      <c r="E57" s="9"/>
      <c r="F57" s="124"/>
      <c r="G57" s="138"/>
      <c r="H57" s="9"/>
      <c r="I57" s="9"/>
      <c r="J57" s="9"/>
      <c r="K57" s="277"/>
      <c r="L57" s="9"/>
      <c r="M57" s="161"/>
      <c r="N57" s="145"/>
    </row>
    <row r="58" spans="2:16" s="1" customFormat="1" ht="12.95" customHeight="1" x14ac:dyDescent="0.2">
      <c r="B58" s="9"/>
      <c r="C58" s="9"/>
      <c r="D58" s="9"/>
      <c r="E58" s="9"/>
      <c r="F58" s="124"/>
      <c r="G58" s="138"/>
      <c r="H58" s="9"/>
      <c r="I58" s="9"/>
      <c r="J58" s="9"/>
      <c r="K58" s="9"/>
      <c r="L58" s="9"/>
      <c r="M58" s="161"/>
      <c r="N58" s="145"/>
    </row>
    <row r="59" spans="2:16" ht="12.95" customHeight="1" x14ac:dyDescent="0.2">
      <c r="F59" s="124"/>
      <c r="G59" s="138"/>
      <c r="M59" s="161"/>
    </row>
    <row r="60" spans="2:16" ht="14.25" x14ac:dyDescent="0.2">
      <c r="F60" s="124"/>
      <c r="G60" s="138"/>
      <c r="M60" s="161"/>
    </row>
    <row r="61" spans="2:16" ht="14.25" x14ac:dyDescent="0.2">
      <c r="F61" s="124"/>
      <c r="G61" s="138"/>
      <c r="M61" s="161"/>
    </row>
    <row r="62" spans="2:16" ht="14.25" x14ac:dyDescent="0.2">
      <c r="F62" s="124"/>
      <c r="G62" s="138"/>
      <c r="M62" s="161"/>
    </row>
    <row r="63" spans="2:16" ht="14.25" x14ac:dyDescent="0.2">
      <c r="F63" s="124"/>
      <c r="G63" s="138"/>
      <c r="M63" s="161"/>
    </row>
    <row r="64" spans="2:16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24"/>
      <c r="M70" s="161"/>
    </row>
    <row r="71" spans="6:13" ht="14.25" x14ac:dyDescent="0.2">
      <c r="F71" s="124"/>
      <c r="G71" s="124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x14ac:dyDescent="0.2">
      <c r="G87" s="124"/>
    </row>
    <row r="88" spans="6:13" x14ac:dyDescent="0.2">
      <c r="G88" s="124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B1:N94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4.42578125" style="9" customWidth="1"/>
    <col min="2" max="2" width="4.7109375" style="9" customWidth="1"/>
    <col min="3" max="3" width="5.42578125" style="9" customWidth="1"/>
    <col min="4" max="5" width="5" style="9" customWidth="1"/>
    <col min="6" max="7" width="8.7109375" style="17" customWidth="1"/>
    <col min="8" max="8" width="50.7109375" style="9" customWidth="1"/>
    <col min="9" max="12" width="14.7109375" style="9" customWidth="1"/>
    <col min="13" max="13" width="15.7109375" style="9" customWidth="1"/>
    <col min="14" max="14" width="7.7109375" style="145" customWidth="1"/>
    <col min="15" max="16384" width="9.140625" style="9"/>
  </cols>
  <sheetData>
    <row r="1" spans="2:14" ht="13.5" thickBot="1" x14ac:dyDescent="0.25"/>
    <row r="2" spans="2:14" s="64" customFormat="1" ht="20.100000000000001" customHeight="1" thickTop="1" thickBot="1" x14ac:dyDescent="0.25">
      <c r="B2" s="649" t="s">
        <v>466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68"/>
    </row>
    <row r="3" spans="2:14" s="1" customFormat="1" ht="8.1" customHeight="1" thickTop="1" thickBot="1" x14ac:dyDescent="0.3">
      <c r="F3" s="2"/>
      <c r="G3" s="2"/>
      <c r="H3" s="652"/>
      <c r="I3" s="652"/>
      <c r="J3" s="107"/>
      <c r="K3" s="60"/>
      <c r="L3" s="60"/>
      <c r="M3" s="60"/>
      <c r="N3" s="144"/>
    </row>
    <row r="4" spans="2:14" s="1" customFormat="1" ht="39" customHeight="1" x14ac:dyDescent="0.2">
      <c r="B4" s="656" t="s">
        <v>286</v>
      </c>
      <c r="C4" s="658" t="s">
        <v>446</v>
      </c>
      <c r="D4" s="658" t="s">
        <v>447</v>
      </c>
      <c r="E4" s="672" t="s">
        <v>448</v>
      </c>
      <c r="F4" s="669" t="s">
        <v>287</v>
      </c>
      <c r="G4" s="660" t="s">
        <v>288</v>
      </c>
      <c r="H4" s="662" t="s">
        <v>99</v>
      </c>
      <c r="I4" s="669" t="s">
        <v>886</v>
      </c>
      <c r="J4" s="673" t="s">
        <v>808</v>
      </c>
      <c r="K4" s="653" t="s">
        <v>813</v>
      </c>
      <c r="L4" s="654"/>
      <c r="M4" s="655"/>
      <c r="N4" s="665" t="s">
        <v>65</v>
      </c>
    </row>
    <row r="5" spans="2:14" s="1" customFormat="1" ht="27" customHeight="1" x14ac:dyDescent="0.2">
      <c r="B5" s="657"/>
      <c r="C5" s="659"/>
      <c r="D5" s="659"/>
      <c r="E5" s="661"/>
      <c r="F5" s="663"/>
      <c r="G5" s="661"/>
      <c r="H5" s="663"/>
      <c r="I5" s="663"/>
      <c r="J5" s="663"/>
      <c r="K5" s="265" t="s">
        <v>289</v>
      </c>
      <c r="L5" s="159" t="s">
        <v>290</v>
      </c>
      <c r="M5" s="468" t="s">
        <v>291</v>
      </c>
      <c r="N5" s="666"/>
    </row>
    <row r="6" spans="2:14" s="2" customFormat="1" ht="12.95" customHeight="1" x14ac:dyDescent="0.2">
      <c r="B6" s="231">
        <v>1</v>
      </c>
      <c r="C6" s="135">
        <v>2</v>
      </c>
      <c r="D6" s="135">
        <v>3</v>
      </c>
      <c r="E6" s="135">
        <v>4</v>
      </c>
      <c r="F6" s="135">
        <v>5</v>
      </c>
      <c r="G6" s="135">
        <v>6</v>
      </c>
      <c r="H6" s="135">
        <v>7</v>
      </c>
      <c r="I6" s="135">
        <v>8</v>
      </c>
      <c r="J6" s="135">
        <v>9</v>
      </c>
      <c r="K6" s="231">
        <v>10</v>
      </c>
      <c r="L6" s="135">
        <v>11</v>
      </c>
      <c r="M6" s="501" t="s">
        <v>449</v>
      </c>
      <c r="N6" s="536" t="s">
        <v>450</v>
      </c>
    </row>
    <row r="7" spans="2:14" s="2" customFormat="1" ht="12.95" customHeight="1" x14ac:dyDescent="0.25">
      <c r="B7" s="6" t="s">
        <v>457</v>
      </c>
      <c r="C7" s="7" t="s">
        <v>451</v>
      </c>
      <c r="D7" s="7" t="s">
        <v>467</v>
      </c>
      <c r="E7" s="286" t="s">
        <v>605</v>
      </c>
      <c r="F7" s="5"/>
      <c r="G7" s="5"/>
      <c r="H7" s="5"/>
      <c r="I7" s="5"/>
      <c r="J7" s="5"/>
      <c r="K7" s="4"/>
      <c r="L7" s="5"/>
      <c r="M7" s="502"/>
      <c r="N7" s="537"/>
    </row>
    <row r="8" spans="2:14" s="1" customFormat="1" ht="12.95" customHeight="1" x14ac:dyDescent="0.25">
      <c r="B8" s="12"/>
      <c r="C8" s="8"/>
      <c r="D8" s="8"/>
      <c r="E8" s="8"/>
      <c r="F8" s="121">
        <v>611000</v>
      </c>
      <c r="G8" s="135"/>
      <c r="H8" s="23" t="s">
        <v>300</v>
      </c>
      <c r="I8" s="150">
        <f>SUM(I9:I11)</f>
        <v>88910</v>
      </c>
      <c r="J8" s="150">
        <f>SUM(J9:J11)</f>
        <v>88910</v>
      </c>
      <c r="K8" s="319">
        <f>SUM(K9:K11)</f>
        <v>93580</v>
      </c>
      <c r="L8" s="153">
        <f>SUM(L9:L11)</f>
        <v>0</v>
      </c>
      <c r="M8" s="503">
        <f>SUM(M9:M11)</f>
        <v>93580</v>
      </c>
      <c r="N8" s="538">
        <f t="shared" ref="N8:N29" si="0">IF(J8=0,"",M8/J8*100)</f>
        <v>105.25250253064897</v>
      </c>
    </row>
    <row r="9" spans="2:14" ht="12.95" customHeight="1" x14ac:dyDescent="0.2">
      <c r="B9" s="10"/>
      <c r="C9" s="11"/>
      <c r="D9" s="11"/>
      <c r="E9" s="11"/>
      <c r="F9" s="122">
        <v>611100</v>
      </c>
      <c r="G9" s="136"/>
      <c r="H9" s="22" t="s">
        <v>301</v>
      </c>
      <c r="I9" s="151">
        <f>70050+2*250+100</f>
        <v>70650</v>
      </c>
      <c r="J9" s="151">
        <f>70050+2*250+100</f>
        <v>70650</v>
      </c>
      <c r="K9" s="253">
        <f>70900+1780</f>
        <v>72680</v>
      </c>
      <c r="L9" s="151">
        <v>0</v>
      </c>
      <c r="M9" s="504">
        <f>SUM(K9:L9)</f>
        <v>72680</v>
      </c>
      <c r="N9" s="539">
        <f t="shared" si="0"/>
        <v>102.87331917905166</v>
      </c>
    </row>
    <row r="10" spans="2:14" ht="12.95" customHeight="1" x14ac:dyDescent="0.2">
      <c r="B10" s="10"/>
      <c r="C10" s="11"/>
      <c r="D10" s="11"/>
      <c r="E10" s="11"/>
      <c r="F10" s="122">
        <v>611200</v>
      </c>
      <c r="G10" s="136"/>
      <c r="H10" s="22" t="s">
        <v>302</v>
      </c>
      <c r="I10" s="151">
        <f>11800+100+4*1390+2*400</f>
        <v>18260</v>
      </c>
      <c r="J10" s="151">
        <f>11800+100+4*1390+2*400</f>
        <v>18260</v>
      </c>
      <c r="K10" s="253">
        <f>8700+12200</f>
        <v>20900</v>
      </c>
      <c r="L10" s="151">
        <v>0</v>
      </c>
      <c r="M10" s="504">
        <f t="shared" ref="M10" si="1">SUM(K10:L10)</f>
        <v>20900</v>
      </c>
      <c r="N10" s="539">
        <f t="shared" si="0"/>
        <v>114.45783132530121</v>
      </c>
    </row>
    <row r="11" spans="2:14" ht="8.1" customHeight="1" x14ac:dyDescent="0.2">
      <c r="B11" s="10"/>
      <c r="C11" s="11"/>
      <c r="D11" s="11"/>
      <c r="E11" s="11"/>
      <c r="F11" s="122"/>
      <c r="G11" s="136"/>
      <c r="H11" s="22"/>
      <c r="I11" s="151"/>
      <c r="J11" s="151"/>
      <c r="K11" s="253"/>
      <c r="L11" s="151"/>
      <c r="M11" s="504"/>
      <c r="N11" s="539" t="str">
        <f t="shared" si="0"/>
        <v/>
      </c>
    </row>
    <row r="12" spans="2:14" s="1" customFormat="1" ht="12.95" customHeight="1" x14ac:dyDescent="0.25">
      <c r="B12" s="12"/>
      <c r="C12" s="8"/>
      <c r="D12" s="8"/>
      <c r="E12" s="8"/>
      <c r="F12" s="121">
        <v>612000</v>
      </c>
      <c r="G12" s="135"/>
      <c r="H12" s="23" t="s">
        <v>305</v>
      </c>
      <c r="I12" s="150">
        <f t="shared" ref="I12:J12" si="2">I13</f>
        <v>7730</v>
      </c>
      <c r="J12" s="150">
        <f t="shared" si="2"/>
        <v>7730</v>
      </c>
      <c r="K12" s="319">
        <f>K13</f>
        <v>7720</v>
      </c>
      <c r="L12" s="153">
        <f>L13</f>
        <v>0</v>
      </c>
      <c r="M12" s="503">
        <f>M13</f>
        <v>7720</v>
      </c>
      <c r="N12" s="538">
        <f t="shared" si="0"/>
        <v>99.870633893919788</v>
      </c>
    </row>
    <row r="13" spans="2:14" ht="12.95" customHeight="1" x14ac:dyDescent="0.2">
      <c r="B13" s="10"/>
      <c r="C13" s="11"/>
      <c r="D13" s="11"/>
      <c r="E13" s="11"/>
      <c r="F13" s="122">
        <v>612100</v>
      </c>
      <c r="G13" s="136"/>
      <c r="H13" s="294" t="s">
        <v>306</v>
      </c>
      <c r="I13" s="151">
        <f>7650+2*30+20</f>
        <v>7730</v>
      </c>
      <c r="J13" s="151">
        <f>7650+2*30+20</f>
        <v>7730</v>
      </c>
      <c r="K13" s="253">
        <f>7520+200</f>
        <v>7720</v>
      </c>
      <c r="L13" s="151">
        <v>0</v>
      </c>
      <c r="M13" s="504">
        <f>SUM(K13:L13)</f>
        <v>7720</v>
      </c>
      <c r="N13" s="539">
        <f t="shared" si="0"/>
        <v>99.870633893919788</v>
      </c>
    </row>
    <row r="14" spans="2:14" ht="8.1" customHeight="1" x14ac:dyDescent="0.2">
      <c r="B14" s="10"/>
      <c r="C14" s="11"/>
      <c r="D14" s="11"/>
      <c r="E14" s="11"/>
      <c r="F14" s="122"/>
      <c r="G14" s="136"/>
      <c r="H14" s="22"/>
      <c r="I14" s="151"/>
      <c r="J14" s="151"/>
      <c r="K14" s="253"/>
      <c r="L14" s="151"/>
      <c r="M14" s="478"/>
      <c r="N14" s="539" t="str">
        <f t="shared" si="0"/>
        <v/>
      </c>
    </row>
    <row r="15" spans="2:14" s="1" customFormat="1" ht="12.95" customHeight="1" x14ac:dyDescent="0.25">
      <c r="B15" s="12"/>
      <c r="C15" s="8"/>
      <c r="D15" s="8"/>
      <c r="E15" s="8"/>
      <c r="F15" s="121">
        <v>613000</v>
      </c>
      <c r="G15" s="135"/>
      <c r="H15" s="23" t="s">
        <v>309</v>
      </c>
      <c r="I15" s="150">
        <f>SUM(I16:I24)</f>
        <v>1030</v>
      </c>
      <c r="J15" s="150">
        <f>SUM(J16:J24)</f>
        <v>1030</v>
      </c>
      <c r="K15" s="320">
        <f>SUM(K16:K24)</f>
        <v>2000</v>
      </c>
      <c r="L15" s="155">
        <f>SUM(L16:L24)</f>
        <v>0</v>
      </c>
      <c r="M15" s="476">
        <f>SUM(M16:M24)</f>
        <v>2000</v>
      </c>
      <c r="N15" s="538">
        <f t="shared" si="0"/>
        <v>194.17475728155341</v>
      </c>
    </row>
    <row r="16" spans="2:14" ht="12.95" customHeight="1" x14ac:dyDescent="0.2">
      <c r="B16" s="10"/>
      <c r="C16" s="11"/>
      <c r="D16" s="11"/>
      <c r="E16" s="11"/>
      <c r="F16" s="122">
        <v>613100</v>
      </c>
      <c r="G16" s="136"/>
      <c r="H16" s="22" t="s">
        <v>310</v>
      </c>
      <c r="I16" s="151">
        <v>500</v>
      </c>
      <c r="J16" s="151">
        <v>500</v>
      </c>
      <c r="K16" s="253">
        <v>500</v>
      </c>
      <c r="L16" s="151">
        <v>0</v>
      </c>
      <c r="M16" s="504">
        <f t="shared" ref="M16:M24" si="3">SUM(K16:L16)</f>
        <v>500</v>
      </c>
      <c r="N16" s="539">
        <f t="shared" si="0"/>
        <v>100</v>
      </c>
    </row>
    <row r="17" spans="2:14" ht="12.95" customHeight="1" x14ac:dyDescent="0.2">
      <c r="B17" s="10"/>
      <c r="C17" s="11"/>
      <c r="D17" s="11"/>
      <c r="E17" s="11"/>
      <c r="F17" s="122">
        <v>613200</v>
      </c>
      <c r="G17" s="136"/>
      <c r="H17" s="22" t="s">
        <v>311</v>
      </c>
      <c r="I17" s="151">
        <v>0</v>
      </c>
      <c r="J17" s="151">
        <v>0</v>
      </c>
      <c r="K17" s="253">
        <v>0</v>
      </c>
      <c r="L17" s="151">
        <v>0</v>
      </c>
      <c r="M17" s="504">
        <f t="shared" si="3"/>
        <v>0</v>
      </c>
      <c r="N17" s="539" t="str">
        <f t="shared" si="0"/>
        <v/>
      </c>
    </row>
    <row r="18" spans="2:14" ht="12.95" customHeight="1" x14ac:dyDescent="0.2">
      <c r="B18" s="10"/>
      <c r="C18" s="11"/>
      <c r="D18" s="11"/>
      <c r="E18" s="11"/>
      <c r="F18" s="122">
        <v>613300</v>
      </c>
      <c r="G18" s="136"/>
      <c r="H18" s="22" t="s">
        <v>312</v>
      </c>
      <c r="I18" s="151">
        <v>0</v>
      </c>
      <c r="J18" s="151">
        <v>0</v>
      </c>
      <c r="K18" s="253">
        <v>0</v>
      </c>
      <c r="L18" s="151">
        <v>0</v>
      </c>
      <c r="M18" s="504">
        <f t="shared" si="3"/>
        <v>0</v>
      </c>
      <c r="N18" s="539" t="str">
        <f t="shared" si="0"/>
        <v/>
      </c>
    </row>
    <row r="19" spans="2:14" ht="12.95" customHeight="1" x14ac:dyDescent="0.2">
      <c r="B19" s="10"/>
      <c r="C19" s="11"/>
      <c r="D19" s="11"/>
      <c r="E19" s="11"/>
      <c r="F19" s="122">
        <v>613400</v>
      </c>
      <c r="G19" s="136"/>
      <c r="H19" s="22" t="s">
        <v>313</v>
      </c>
      <c r="I19" s="151">
        <v>0</v>
      </c>
      <c r="J19" s="151">
        <v>0</v>
      </c>
      <c r="K19" s="253">
        <v>0</v>
      </c>
      <c r="L19" s="151">
        <v>0</v>
      </c>
      <c r="M19" s="504">
        <f t="shared" si="3"/>
        <v>0</v>
      </c>
      <c r="N19" s="539" t="str">
        <f t="shared" si="0"/>
        <v/>
      </c>
    </row>
    <row r="20" spans="2:14" ht="12.95" customHeight="1" x14ac:dyDescent="0.2">
      <c r="B20" s="10"/>
      <c r="C20" s="11"/>
      <c r="D20" s="11"/>
      <c r="E20" s="11"/>
      <c r="F20" s="122">
        <v>613500</v>
      </c>
      <c r="G20" s="136"/>
      <c r="H20" s="22" t="s">
        <v>316</v>
      </c>
      <c r="I20" s="151">
        <v>0</v>
      </c>
      <c r="J20" s="151">
        <v>0</v>
      </c>
      <c r="K20" s="253">
        <v>0</v>
      </c>
      <c r="L20" s="151">
        <v>0</v>
      </c>
      <c r="M20" s="504">
        <f t="shared" si="3"/>
        <v>0</v>
      </c>
      <c r="N20" s="539" t="str">
        <f t="shared" si="0"/>
        <v/>
      </c>
    </row>
    <row r="21" spans="2:14" ht="12.95" customHeight="1" x14ac:dyDescent="0.2">
      <c r="B21" s="10"/>
      <c r="C21" s="11"/>
      <c r="D21" s="11"/>
      <c r="E21" s="11"/>
      <c r="F21" s="122">
        <v>613600</v>
      </c>
      <c r="G21" s="136"/>
      <c r="H21" s="22" t="s">
        <v>317</v>
      </c>
      <c r="I21" s="151">
        <v>0</v>
      </c>
      <c r="J21" s="151">
        <v>0</v>
      </c>
      <c r="K21" s="253">
        <v>0</v>
      </c>
      <c r="L21" s="151">
        <v>0</v>
      </c>
      <c r="M21" s="504">
        <f t="shared" si="3"/>
        <v>0</v>
      </c>
      <c r="N21" s="539" t="str">
        <f t="shared" si="0"/>
        <v/>
      </c>
    </row>
    <row r="22" spans="2:14" ht="12.95" customHeight="1" x14ac:dyDescent="0.2">
      <c r="B22" s="10"/>
      <c r="C22" s="11"/>
      <c r="D22" s="11"/>
      <c r="E22" s="11"/>
      <c r="F22" s="122">
        <v>613700</v>
      </c>
      <c r="G22" s="136"/>
      <c r="H22" s="22" t="s">
        <v>318</v>
      </c>
      <c r="I22" s="151">
        <v>0</v>
      </c>
      <c r="J22" s="151">
        <v>0</v>
      </c>
      <c r="K22" s="253">
        <v>500</v>
      </c>
      <c r="L22" s="151">
        <v>0</v>
      </c>
      <c r="M22" s="504">
        <f t="shared" si="3"/>
        <v>500</v>
      </c>
      <c r="N22" s="539" t="str">
        <f t="shared" si="0"/>
        <v/>
      </c>
    </row>
    <row r="23" spans="2:14" ht="12.95" customHeight="1" x14ac:dyDescent="0.2">
      <c r="B23" s="10"/>
      <c r="C23" s="11"/>
      <c r="D23" s="11"/>
      <c r="E23" s="11"/>
      <c r="F23" s="122">
        <v>613800</v>
      </c>
      <c r="G23" s="136"/>
      <c r="H23" s="22" t="s">
        <v>322</v>
      </c>
      <c r="I23" s="151">
        <v>0</v>
      </c>
      <c r="J23" s="151">
        <v>0</v>
      </c>
      <c r="K23" s="253">
        <v>0</v>
      </c>
      <c r="L23" s="151">
        <v>0</v>
      </c>
      <c r="M23" s="504">
        <f t="shared" si="3"/>
        <v>0</v>
      </c>
      <c r="N23" s="539" t="str">
        <f t="shared" si="0"/>
        <v/>
      </c>
    </row>
    <row r="24" spans="2:14" ht="12.95" customHeight="1" x14ac:dyDescent="0.2">
      <c r="B24" s="10"/>
      <c r="C24" s="11"/>
      <c r="D24" s="11"/>
      <c r="E24" s="11"/>
      <c r="F24" s="122">
        <v>613900</v>
      </c>
      <c r="G24" s="136"/>
      <c r="H24" s="22" t="s">
        <v>325</v>
      </c>
      <c r="I24" s="151">
        <v>530</v>
      </c>
      <c r="J24" s="151">
        <v>530</v>
      </c>
      <c r="K24" s="253">
        <v>1000</v>
      </c>
      <c r="L24" s="151">
        <v>0</v>
      </c>
      <c r="M24" s="504">
        <f t="shared" si="3"/>
        <v>1000</v>
      </c>
      <c r="N24" s="539">
        <f t="shared" si="0"/>
        <v>188.67924528301887</v>
      </c>
    </row>
    <row r="25" spans="2:14" s="1" customFormat="1" ht="8.1" customHeight="1" x14ac:dyDescent="0.2">
      <c r="B25" s="12"/>
      <c r="C25" s="8"/>
      <c r="D25" s="8"/>
      <c r="E25" s="285"/>
      <c r="F25" s="129"/>
      <c r="G25" s="143"/>
      <c r="H25" s="23"/>
      <c r="I25" s="151"/>
      <c r="J25" s="151"/>
      <c r="K25" s="253"/>
      <c r="L25" s="151"/>
      <c r="M25" s="478"/>
      <c r="N25" s="539" t="str">
        <f t="shared" si="0"/>
        <v/>
      </c>
    </row>
    <row r="26" spans="2:14" s="1" customFormat="1" ht="12.95" customHeight="1" x14ac:dyDescent="0.25">
      <c r="B26" s="12"/>
      <c r="C26" s="8"/>
      <c r="D26" s="8"/>
      <c r="E26" s="8"/>
      <c r="F26" s="121">
        <v>821000</v>
      </c>
      <c r="G26" s="135"/>
      <c r="H26" s="23" t="s">
        <v>427</v>
      </c>
      <c r="I26" s="150">
        <f t="shared" ref="I26:J26" si="4">SUM(I27:I28)</f>
        <v>1000</v>
      </c>
      <c r="J26" s="150">
        <f t="shared" si="4"/>
        <v>1000</v>
      </c>
      <c r="K26" s="319">
        <f t="shared" ref="K26:L26" si="5">SUM(K27:K28)</f>
        <v>1000</v>
      </c>
      <c r="L26" s="153">
        <f t="shared" si="5"/>
        <v>0</v>
      </c>
      <c r="M26" s="476">
        <f t="shared" ref="M26" si="6">SUM(M27:M28)</f>
        <v>1000</v>
      </c>
      <c r="N26" s="539">
        <f t="shared" si="0"/>
        <v>100</v>
      </c>
    </row>
    <row r="27" spans="2:14" ht="12.95" customHeight="1" x14ac:dyDescent="0.2">
      <c r="B27" s="10"/>
      <c r="C27" s="11"/>
      <c r="D27" s="11"/>
      <c r="E27" s="11"/>
      <c r="F27" s="122">
        <v>821200</v>
      </c>
      <c r="G27" s="136"/>
      <c r="H27" s="22" t="s">
        <v>429</v>
      </c>
      <c r="I27" s="151">
        <v>0</v>
      </c>
      <c r="J27" s="151">
        <v>0</v>
      </c>
      <c r="K27" s="253">
        <v>0</v>
      </c>
      <c r="L27" s="151">
        <v>0</v>
      </c>
      <c r="M27" s="504">
        <f t="shared" ref="M27:M28" si="7">SUM(K27:L27)</f>
        <v>0</v>
      </c>
      <c r="N27" s="539" t="str">
        <f t="shared" si="0"/>
        <v/>
      </c>
    </row>
    <row r="28" spans="2:14" ht="12.95" customHeight="1" x14ac:dyDescent="0.2">
      <c r="B28" s="10"/>
      <c r="C28" s="11"/>
      <c r="D28" s="11"/>
      <c r="E28" s="11"/>
      <c r="F28" s="122">
        <v>821300</v>
      </c>
      <c r="G28" s="136"/>
      <c r="H28" s="22" t="s">
        <v>430</v>
      </c>
      <c r="I28" s="151">
        <v>1000</v>
      </c>
      <c r="J28" s="151">
        <v>1000</v>
      </c>
      <c r="K28" s="253">
        <v>1000</v>
      </c>
      <c r="L28" s="151">
        <v>0</v>
      </c>
      <c r="M28" s="504">
        <f t="shared" si="7"/>
        <v>1000</v>
      </c>
      <c r="N28" s="539">
        <f t="shared" si="0"/>
        <v>100</v>
      </c>
    </row>
    <row r="29" spans="2:14" ht="8.1" customHeight="1" x14ac:dyDescent="0.25">
      <c r="B29" s="10"/>
      <c r="C29" s="11"/>
      <c r="D29" s="11"/>
      <c r="E29" s="11"/>
      <c r="F29" s="122"/>
      <c r="G29" s="136"/>
      <c r="H29" s="22"/>
      <c r="I29" s="150"/>
      <c r="J29" s="150"/>
      <c r="K29" s="319"/>
      <c r="L29" s="153"/>
      <c r="M29" s="476"/>
      <c r="N29" s="539" t="str">
        <f t="shared" si="0"/>
        <v/>
      </c>
    </row>
    <row r="30" spans="2:14" s="1" customFormat="1" ht="12.95" customHeight="1" x14ac:dyDescent="0.25">
      <c r="B30" s="12"/>
      <c r="C30" s="8"/>
      <c r="D30" s="8"/>
      <c r="E30" s="8"/>
      <c r="F30" s="121"/>
      <c r="G30" s="135"/>
      <c r="H30" s="23" t="s">
        <v>441</v>
      </c>
      <c r="I30" s="150">
        <v>2</v>
      </c>
      <c r="J30" s="150">
        <v>2</v>
      </c>
      <c r="K30" s="319">
        <v>2</v>
      </c>
      <c r="L30" s="153"/>
      <c r="M30" s="476">
        <v>2</v>
      </c>
      <c r="N30" s="539"/>
    </row>
    <row r="31" spans="2:14" s="1" customFormat="1" ht="12.95" customHeight="1" x14ac:dyDescent="0.25">
      <c r="B31" s="12"/>
      <c r="C31" s="8"/>
      <c r="D31" s="8"/>
      <c r="E31" s="8"/>
      <c r="F31" s="121"/>
      <c r="G31" s="135"/>
      <c r="H31" s="23" t="s">
        <v>453</v>
      </c>
      <c r="I31" s="14">
        <f>I8+I12+I15+I26</f>
        <v>98670</v>
      </c>
      <c r="J31" s="14">
        <f>J8+J12+J15+J26</f>
        <v>98670</v>
      </c>
      <c r="K31" s="262">
        <f>K8+K12+K15+K26</f>
        <v>104300</v>
      </c>
      <c r="L31" s="14">
        <f>L8+L12+L15+L26</f>
        <v>0</v>
      </c>
      <c r="M31" s="476">
        <f>M8+M12+M15+M26</f>
        <v>104300</v>
      </c>
      <c r="N31" s="538">
        <f>IF(J31=0,"",M31/J31*100)</f>
        <v>105.70588831458396</v>
      </c>
    </row>
    <row r="32" spans="2:14" s="1" customFormat="1" ht="12.95" customHeight="1" x14ac:dyDescent="0.25">
      <c r="B32" s="12"/>
      <c r="C32" s="8"/>
      <c r="D32" s="8"/>
      <c r="E32" s="8"/>
      <c r="F32" s="121"/>
      <c r="G32" s="135"/>
      <c r="H32" s="8" t="s">
        <v>454</v>
      </c>
      <c r="I32" s="14"/>
      <c r="J32" s="14"/>
      <c r="K32" s="262"/>
      <c r="L32" s="14"/>
      <c r="M32" s="476"/>
      <c r="N32" s="539" t="str">
        <f>IF(J32=0,"",M32/J32*100)</f>
        <v/>
      </c>
    </row>
    <row r="33" spans="2:14" s="1" customFormat="1" ht="12.95" customHeight="1" x14ac:dyDescent="0.2">
      <c r="B33" s="12"/>
      <c r="C33" s="8"/>
      <c r="D33" s="8"/>
      <c r="E33" s="8"/>
      <c r="F33" s="121"/>
      <c r="G33" s="135"/>
      <c r="H33" s="8" t="s">
        <v>455</v>
      </c>
      <c r="I33" s="27"/>
      <c r="J33" s="27"/>
      <c r="K33" s="261"/>
      <c r="L33" s="27"/>
      <c r="M33" s="478"/>
      <c r="N33" s="539" t="str">
        <f>IF(J33=0,"",M33/J33*100)</f>
        <v/>
      </c>
    </row>
    <row r="34" spans="2:14" ht="8.1" customHeight="1" thickBot="1" x14ac:dyDescent="0.25">
      <c r="B34" s="15"/>
      <c r="C34" s="16"/>
      <c r="D34" s="16"/>
      <c r="E34" s="16"/>
      <c r="F34" s="123"/>
      <c r="G34" s="137"/>
      <c r="H34" s="16"/>
      <c r="I34" s="16"/>
      <c r="J34" s="16"/>
      <c r="K34" s="15"/>
      <c r="L34" s="16"/>
      <c r="M34" s="496"/>
      <c r="N34" s="540"/>
    </row>
    <row r="35" spans="2:14" ht="12.95" customHeight="1" x14ac:dyDescent="0.2">
      <c r="F35" s="124"/>
      <c r="G35" s="138"/>
      <c r="M35" s="161"/>
    </row>
    <row r="36" spans="2:14" ht="12.95" customHeight="1" x14ac:dyDescent="0.2">
      <c r="F36" s="124"/>
      <c r="G36" s="138"/>
      <c r="M36" s="161"/>
    </row>
    <row r="37" spans="2:14" ht="12.95" customHeight="1" x14ac:dyDescent="0.2">
      <c r="F37" s="124"/>
      <c r="G37" s="138"/>
      <c r="M37" s="161"/>
    </row>
    <row r="38" spans="2:14" ht="12.95" customHeight="1" x14ac:dyDescent="0.2">
      <c r="F38" s="124"/>
      <c r="G38" s="138"/>
      <c r="M38" s="161"/>
    </row>
    <row r="39" spans="2:14" ht="12.95" customHeight="1" x14ac:dyDescent="0.2">
      <c r="F39" s="124"/>
      <c r="G39" s="138"/>
      <c r="M39" s="161"/>
    </row>
    <row r="40" spans="2:14" ht="12.95" customHeight="1" x14ac:dyDescent="0.2">
      <c r="F40" s="124"/>
      <c r="G40" s="138"/>
      <c r="M40" s="161"/>
    </row>
    <row r="41" spans="2:14" ht="12.95" customHeight="1" x14ac:dyDescent="0.2">
      <c r="F41" s="124"/>
      <c r="G41" s="138"/>
      <c r="M41" s="161"/>
    </row>
    <row r="42" spans="2:14" ht="12.95" customHeight="1" x14ac:dyDescent="0.2">
      <c r="F42" s="124"/>
      <c r="G42" s="138"/>
      <c r="M42" s="161"/>
    </row>
    <row r="43" spans="2:14" ht="12.95" customHeight="1" x14ac:dyDescent="0.2">
      <c r="F43" s="124"/>
      <c r="G43" s="138"/>
      <c r="M43" s="161"/>
    </row>
    <row r="44" spans="2:14" ht="12.95" customHeight="1" x14ac:dyDescent="0.2">
      <c r="F44" s="124"/>
      <c r="G44" s="138"/>
      <c r="M44" s="161"/>
    </row>
    <row r="45" spans="2:14" ht="12.95" customHeight="1" x14ac:dyDescent="0.2">
      <c r="F45" s="124"/>
      <c r="G45" s="138"/>
      <c r="M45" s="161"/>
    </row>
    <row r="46" spans="2:14" ht="12.95" customHeight="1" x14ac:dyDescent="0.2">
      <c r="F46" s="124"/>
      <c r="G46" s="138"/>
      <c r="M46" s="161"/>
    </row>
    <row r="47" spans="2:14" ht="12.95" customHeight="1" x14ac:dyDescent="0.2">
      <c r="F47" s="124"/>
      <c r="G47" s="138"/>
      <c r="M47" s="161"/>
    </row>
    <row r="48" spans="2:14" ht="12.95" customHeight="1" x14ac:dyDescent="0.2">
      <c r="F48" s="124"/>
      <c r="G48" s="138"/>
      <c r="M48" s="161"/>
    </row>
    <row r="49" spans="6:13" ht="12.95" customHeight="1" x14ac:dyDescent="0.2">
      <c r="F49" s="124"/>
      <c r="G49" s="138"/>
      <c r="M49" s="161"/>
    </row>
    <row r="50" spans="6:13" ht="12.95" customHeight="1" x14ac:dyDescent="0.2">
      <c r="F50" s="124"/>
      <c r="G50" s="138"/>
      <c r="M50" s="161"/>
    </row>
    <row r="51" spans="6:13" ht="12.95" customHeight="1" x14ac:dyDescent="0.2">
      <c r="F51" s="124"/>
      <c r="G51" s="138"/>
      <c r="M51" s="161"/>
    </row>
    <row r="52" spans="6:13" ht="12.95" customHeight="1" x14ac:dyDescent="0.2">
      <c r="F52" s="124"/>
      <c r="G52" s="138"/>
      <c r="M52" s="161"/>
    </row>
    <row r="53" spans="6:13" ht="12.95" customHeight="1" x14ac:dyDescent="0.2">
      <c r="F53" s="124"/>
      <c r="G53" s="138"/>
      <c r="M53" s="161"/>
    </row>
    <row r="54" spans="6:13" ht="12.95" customHeight="1" x14ac:dyDescent="0.2">
      <c r="F54" s="124"/>
      <c r="G54" s="138"/>
      <c r="M54" s="161"/>
    </row>
    <row r="55" spans="6:13" ht="12.95" customHeight="1" x14ac:dyDescent="0.2">
      <c r="F55" s="124"/>
      <c r="G55" s="138"/>
      <c r="M55" s="161"/>
    </row>
    <row r="56" spans="6:13" ht="12.95" customHeight="1" x14ac:dyDescent="0.2">
      <c r="F56" s="124"/>
      <c r="G56" s="138"/>
      <c r="M56" s="161"/>
    </row>
    <row r="57" spans="6:13" ht="12.95" customHeight="1" x14ac:dyDescent="0.2">
      <c r="F57" s="124"/>
      <c r="G57" s="138"/>
      <c r="M57" s="161"/>
    </row>
    <row r="58" spans="6:13" ht="17.100000000000001" customHeight="1" x14ac:dyDescent="0.2">
      <c r="F58" s="124"/>
      <c r="G58" s="138"/>
      <c r="M58" s="161"/>
    </row>
    <row r="59" spans="6:13" ht="14.25" x14ac:dyDescent="0.2">
      <c r="F59" s="124"/>
      <c r="G59" s="138"/>
      <c r="M59" s="161"/>
    </row>
    <row r="60" spans="6:13" ht="14.25" x14ac:dyDescent="0.2">
      <c r="F60" s="124"/>
      <c r="G60" s="138"/>
      <c r="M60" s="161"/>
    </row>
    <row r="61" spans="6:13" ht="14.25" x14ac:dyDescent="0.2">
      <c r="F61" s="124"/>
      <c r="G61" s="138"/>
      <c r="M61" s="161"/>
    </row>
    <row r="62" spans="6:13" ht="14.25" x14ac:dyDescent="0.2">
      <c r="F62" s="124"/>
      <c r="G62" s="138"/>
      <c r="M62" s="161"/>
    </row>
    <row r="63" spans="6:13" ht="14.25" x14ac:dyDescent="0.2">
      <c r="F63" s="124"/>
      <c r="G63" s="138"/>
      <c r="M63" s="161"/>
    </row>
    <row r="64" spans="6:13" ht="14.25" x14ac:dyDescent="0.2">
      <c r="F64" s="124"/>
      <c r="G64" s="138"/>
      <c r="M64" s="161"/>
    </row>
    <row r="65" spans="6:13" ht="14.25" x14ac:dyDescent="0.2">
      <c r="F65" s="124"/>
      <c r="G65" s="138"/>
      <c r="M65" s="161"/>
    </row>
    <row r="66" spans="6:13" ht="14.25" x14ac:dyDescent="0.2">
      <c r="F66" s="124"/>
      <c r="G66" s="138"/>
      <c r="M66" s="161"/>
    </row>
    <row r="67" spans="6:13" ht="14.25" x14ac:dyDescent="0.2">
      <c r="F67" s="124"/>
      <c r="G67" s="138"/>
      <c r="M67" s="161"/>
    </row>
    <row r="68" spans="6:13" ht="14.25" x14ac:dyDescent="0.2">
      <c r="F68" s="124"/>
      <c r="G68" s="138"/>
      <c r="M68" s="161"/>
    </row>
    <row r="69" spans="6:13" ht="14.25" x14ac:dyDescent="0.2">
      <c r="F69" s="124"/>
      <c r="G69" s="138"/>
      <c r="M69" s="161"/>
    </row>
    <row r="70" spans="6:13" ht="14.25" x14ac:dyDescent="0.2">
      <c r="F70" s="124"/>
      <c r="G70" s="138"/>
      <c r="M70" s="161"/>
    </row>
    <row r="71" spans="6:13" ht="14.25" x14ac:dyDescent="0.2">
      <c r="F71" s="124"/>
      <c r="G71" s="138"/>
      <c r="M71" s="161"/>
    </row>
    <row r="72" spans="6:13" ht="14.25" x14ac:dyDescent="0.2">
      <c r="F72" s="124"/>
      <c r="G72" s="124"/>
      <c r="M72" s="161"/>
    </row>
    <row r="73" spans="6:13" ht="14.25" x14ac:dyDescent="0.2">
      <c r="F73" s="124"/>
      <c r="G73" s="124"/>
      <c r="M73" s="161"/>
    </row>
    <row r="74" spans="6:13" ht="14.25" x14ac:dyDescent="0.2">
      <c r="F74" s="124"/>
      <c r="G74" s="124"/>
      <c r="M74" s="161"/>
    </row>
    <row r="75" spans="6:13" ht="14.25" x14ac:dyDescent="0.2">
      <c r="F75" s="124"/>
      <c r="G75" s="124"/>
      <c r="M75" s="161"/>
    </row>
    <row r="76" spans="6:13" ht="14.25" x14ac:dyDescent="0.2">
      <c r="F76" s="124"/>
      <c r="G76" s="124"/>
      <c r="M76" s="161"/>
    </row>
    <row r="77" spans="6:13" ht="14.25" x14ac:dyDescent="0.2">
      <c r="F77" s="124"/>
      <c r="G77" s="124"/>
      <c r="M77" s="161"/>
    </row>
    <row r="78" spans="6:13" ht="14.25" x14ac:dyDescent="0.2">
      <c r="F78" s="124"/>
      <c r="G78" s="124"/>
      <c r="M78" s="161"/>
    </row>
    <row r="79" spans="6:13" ht="14.25" x14ac:dyDescent="0.2">
      <c r="F79" s="124"/>
      <c r="G79" s="124"/>
      <c r="M79" s="161"/>
    </row>
    <row r="80" spans="6:13" ht="14.25" x14ac:dyDescent="0.2">
      <c r="F80" s="124"/>
      <c r="G80" s="124"/>
      <c r="M80" s="161"/>
    </row>
    <row r="81" spans="6:13" ht="14.25" x14ac:dyDescent="0.2">
      <c r="F81" s="124"/>
      <c r="G81" s="124"/>
      <c r="M81" s="161"/>
    </row>
    <row r="82" spans="6:13" ht="14.25" x14ac:dyDescent="0.2">
      <c r="F82" s="124"/>
      <c r="G82" s="124"/>
      <c r="M82" s="161"/>
    </row>
    <row r="83" spans="6:13" ht="14.25" x14ac:dyDescent="0.2">
      <c r="F83" s="124"/>
      <c r="G83" s="124"/>
      <c r="M83" s="161"/>
    </row>
    <row r="84" spans="6:13" ht="14.25" x14ac:dyDescent="0.2">
      <c r="F84" s="124"/>
      <c r="G84" s="124"/>
      <c r="M84" s="161"/>
    </row>
    <row r="85" spans="6:13" ht="14.25" x14ac:dyDescent="0.2">
      <c r="F85" s="124"/>
      <c r="G85" s="124"/>
      <c r="M85" s="161"/>
    </row>
    <row r="86" spans="6:13" ht="14.25" x14ac:dyDescent="0.2">
      <c r="F86" s="124"/>
      <c r="G86" s="124"/>
      <c r="M86" s="161"/>
    </row>
    <row r="87" spans="6:13" ht="14.25" x14ac:dyDescent="0.2">
      <c r="F87" s="124"/>
      <c r="G87" s="124"/>
      <c r="M87" s="161"/>
    </row>
    <row r="88" spans="6:13" ht="14.25" x14ac:dyDescent="0.2">
      <c r="F88" s="124"/>
      <c r="G88" s="124"/>
      <c r="M88" s="161"/>
    </row>
    <row r="89" spans="6:13" x14ac:dyDescent="0.2">
      <c r="G89" s="124"/>
    </row>
    <row r="90" spans="6:13" x14ac:dyDescent="0.2">
      <c r="G90" s="124"/>
    </row>
    <row r="91" spans="6:13" x14ac:dyDescent="0.2">
      <c r="G91" s="124"/>
    </row>
    <row r="92" spans="6:13" x14ac:dyDescent="0.2">
      <c r="G92" s="124"/>
    </row>
    <row r="93" spans="6:13" x14ac:dyDescent="0.2">
      <c r="G93" s="124"/>
    </row>
    <row r="94" spans="6:13" x14ac:dyDescent="0.2">
      <c r="G94" s="124"/>
    </row>
  </sheetData>
  <mergeCells count="13">
    <mergeCell ref="B2:N2"/>
    <mergeCell ref="N4:N5"/>
    <mergeCell ref="H4:H5"/>
    <mergeCell ref="H3:I3"/>
    <mergeCell ref="K4:M4"/>
    <mergeCell ref="B4:B5"/>
    <mergeCell ref="C4:C5"/>
    <mergeCell ref="D4:D5"/>
    <mergeCell ref="G4:G5"/>
    <mergeCell ref="F4:F5"/>
    <mergeCell ref="I4:I5"/>
    <mergeCell ref="J4:J5"/>
    <mergeCell ref="E4:E5"/>
  </mergeCells>
  <phoneticPr fontId="2" type="noConversion"/>
  <pageMargins left="0.78740157480314965" right="0.31496062992125984" top="0.35433070866141736" bottom="0.51181102362204722" header="0.39370078740157483" footer="0.31496062992125984"/>
  <pageSetup paperSize="9" scale="75" firstPageNumber="1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48</vt:i4>
      </vt:variant>
      <vt:variant>
        <vt:lpstr>Imenovani rasponi</vt:lpstr>
      </vt:variant>
      <vt:variant>
        <vt:i4>16</vt:i4>
      </vt:variant>
    </vt:vector>
  </HeadingPairs>
  <TitlesOfParts>
    <vt:vector size="64" baseType="lpstr">
      <vt:lpstr>Naslovnica</vt:lpstr>
      <vt:lpstr>Sadrzaj</vt:lpstr>
      <vt:lpstr>Uvod</vt:lpstr>
      <vt:lpstr>Prihodi</vt:lpstr>
      <vt:lpstr>Rashodi</vt:lpstr>
      <vt:lpstr>1</vt:lpstr>
      <vt:lpstr>2</vt:lpstr>
      <vt:lpstr>3</vt:lpstr>
      <vt:lpstr>4</vt:lpstr>
      <vt:lpstr>5</vt:lpstr>
      <vt:lpstr>6</vt:lpstr>
      <vt:lpstr>7N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Sumarno</vt:lpstr>
      <vt:lpstr>Zaposleni</vt:lpstr>
      <vt:lpstr>Funkcijska</vt:lpstr>
      <vt:lpstr>Kap.pror.</vt:lpstr>
      <vt:lpstr>Kraj</vt:lpstr>
      <vt:lpstr>Funkcijska!Ispis_naslova</vt:lpstr>
      <vt:lpstr>Prihodi!Ispis_naslova</vt:lpstr>
      <vt:lpstr>Rashodi!Ispis_naslova</vt:lpstr>
      <vt:lpstr>'16'!Podrucje_ispisa</vt:lpstr>
      <vt:lpstr>'17'!Podrucje_ispisa</vt:lpstr>
      <vt:lpstr>'18'!Podrucje_ispisa</vt:lpstr>
      <vt:lpstr>'20'!Podrucje_ispisa</vt:lpstr>
      <vt:lpstr>'22'!Podrucje_ispisa</vt:lpstr>
      <vt:lpstr>Funkcijska!Podrucje_ispisa</vt:lpstr>
      <vt:lpstr>Kap.pror.!Podrucje_ispisa</vt:lpstr>
      <vt:lpstr>Kraj!Podrucje_ispisa</vt:lpstr>
      <vt:lpstr>Prihodi!Podrucje_ispisa</vt:lpstr>
      <vt:lpstr>Rashodi!Podrucje_ispisa</vt:lpstr>
      <vt:lpstr>Sadrzaj!Podrucje_ispisa</vt:lpstr>
      <vt:lpstr>Sumarno!Podrucje_ispisa</vt:lpstr>
      <vt:lpstr>Uvod!Podrucje_ispisa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operater</dc:creator>
  <cp:keywords/>
  <dc:description/>
  <cp:lastModifiedBy>Vlada Županije Posavske</cp:lastModifiedBy>
  <cp:revision/>
  <cp:lastPrinted>2024-12-16T12:12:45Z</cp:lastPrinted>
  <dcterms:created xsi:type="dcterms:W3CDTF">2004-07-23T11:14:23Z</dcterms:created>
  <dcterms:modified xsi:type="dcterms:W3CDTF">2024-12-19T08:42:07Z</dcterms:modified>
  <cp:category/>
  <cp:contentStatus/>
</cp:coreProperties>
</file>